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0dbb74bfaa5d692/Desktop/Projects/Excel Projects/Financial Forecasting and Scenario Model/"/>
    </mc:Choice>
  </mc:AlternateContent>
  <xr:revisionPtr revIDLastSave="1078" documentId="8_{2C860A66-8F3E-4A6D-82DA-E59DD93AC5D1}" xr6:coauthVersionLast="47" xr6:coauthVersionMax="47" xr10:uidLastSave="{32790D1B-830C-4B43-8592-000027200242}"/>
  <bookViews>
    <workbookView xWindow="10410" yWindow="4845" windowWidth="36450" windowHeight="10485" xr2:uid="{80F795F9-D677-4F85-9AF5-57F54CB5C8A0}"/>
  </bookViews>
  <sheets>
    <sheet name="README" sheetId="10" r:id="rId1"/>
    <sheet name="Cover" sheetId="1" r:id="rId2"/>
    <sheet name="Dashboard" sheetId="7" r:id="rId3"/>
    <sheet name="Historical" sheetId="2" r:id="rId4"/>
    <sheet name="Assumptions" sheetId="3" r:id="rId5"/>
    <sheet name="Scenarios" sheetId="4" r:id="rId6"/>
    <sheet name="Forecast" sheetId="5" r:id="rId7"/>
    <sheet name="Variance" sheetId="6" r:id="rId8"/>
    <sheet name="Sensitivity" sheetId="8" r:id="rId9"/>
    <sheet name="Admin" sheetId="9" r:id="rId10"/>
  </sheets>
  <definedNames>
    <definedName name="DiscountRate">Dashboard!$C$10</definedName>
    <definedName name="rngCOGSpct">Admin!$B$9</definedName>
    <definedName name="rngOpExChange">Admin!$B$10</definedName>
    <definedName name="rngPriceChange">Admin!$B$8</definedName>
    <definedName name="rngVolumeGrowth">Admin!$B$7</definedName>
    <definedName name="SelectedScenario">Dashboard!$C$4</definedName>
    <definedName name="Slider_COGS">Dashboard!$C$9</definedName>
    <definedName name="Slider_Price">Dashboard!$C$8</definedName>
    <definedName name="Slider_Volume">Dashboard!$C$7</definedName>
    <definedName name="StartMonth">Admin!$B$5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1" i="6" l="1" a="1"/>
  <c r="A11" i="6" s="1"/>
  <c r="A10" i="6" a="1"/>
  <c r="A10" i="6" s="1"/>
  <c r="A9" i="6" a="1"/>
  <c r="A9" i="6" s="1"/>
  <c r="A8" i="6" a="1"/>
  <c r="A8" i="6" s="1"/>
  <c r="A7" i="6" a="1"/>
  <c r="A7" i="6" s="1"/>
  <c r="A6" i="6" a="1"/>
  <c r="A6" i="6" s="1"/>
  <c r="A5" i="6" a="1"/>
  <c r="A5" i="6" s="1"/>
  <c r="S16" i="9"/>
  <c r="N16" i="9"/>
  <c r="S15" i="9"/>
  <c r="N15" i="9"/>
  <c r="S14" i="9"/>
  <c r="N14" i="9"/>
  <c r="S13" i="9"/>
  <c r="N13" i="9"/>
  <c r="S12" i="9"/>
  <c r="N12" i="9"/>
  <c r="S11" i="9"/>
  <c r="N11" i="9"/>
  <c r="S10" i="9"/>
  <c r="N10" i="9"/>
  <c r="S9" i="9"/>
  <c r="N9" i="9"/>
  <c r="S8" i="9"/>
  <c r="N8" i="9"/>
  <c r="S7" i="9"/>
  <c r="N7" i="9"/>
  <c r="S6" i="9"/>
  <c r="N6" i="9"/>
  <c r="S5" i="9"/>
  <c r="N5" i="9"/>
  <c r="K11" i="6"/>
  <c r="Y8" i="9" s="1"/>
  <c r="I11" i="6"/>
  <c r="Y6" i="9" s="1"/>
  <c r="H11" i="6"/>
  <c r="Y5" i="9" s="1"/>
  <c r="F11" i="6"/>
  <c r="C11" i="6"/>
  <c r="G11" i="6" s="1"/>
  <c r="B11" i="6"/>
  <c r="J11" i="6" s="1"/>
  <c r="Y7" i="9" s="1"/>
  <c r="K10" i="6"/>
  <c r="I10" i="6"/>
  <c r="H10" i="6"/>
  <c r="F10" i="6"/>
  <c r="C10" i="6"/>
  <c r="G10" i="6" s="1"/>
  <c r="B10" i="6"/>
  <c r="K9" i="6"/>
  <c r="I9" i="6"/>
  <c r="H9" i="6"/>
  <c r="F9" i="6"/>
  <c r="C9" i="6"/>
  <c r="G9" i="6" s="1"/>
  <c r="B9" i="6"/>
  <c r="J9" i="6" s="1"/>
  <c r="K8" i="6"/>
  <c r="I8" i="6"/>
  <c r="H8" i="6"/>
  <c r="F8" i="6"/>
  <c r="C8" i="6"/>
  <c r="G8" i="6" s="1"/>
  <c r="B8" i="6"/>
  <c r="J8" i="6" s="1"/>
  <c r="K7" i="6"/>
  <c r="I7" i="6"/>
  <c r="H7" i="6"/>
  <c r="F7" i="6"/>
  <c r="C7" i="6"/>
  <c r="G7" i="6" s="1"/>
  <c r="B7" i="6"/>
  <c r="J7" i="6" s="1"/>
  <c r="K6" i="6"/>
  <c r="I6" i="6"/>
  <c r="H6" i="6"/>
  <c r="F6" i="6"/>
  <c r="C6" i="6"/>
  <c r="G6" i="6" s="1"/>
  <c r="B6" i="6"/>
  <c r="J6" i="6" s="1"/>
  <c r="K5" i="6"/>
  <c r="I5" i="6"/>
  <c r="H5" i="6"/>
  <c r="F5" i="6"/>
  <c r="C5" i="6"/>
  <c r="G5" i="6" s="1"/>
  <c r="B5" i="6"/>
  <c r="J5" i="6" s="1"/>
  <c r="G29" i="5" a="1"/>
  <c r="G29" i="5" s="1"/>
  <c r="G30" i="5" s="1"/>
  <c r="G31" i="5" s="1"/>
  <c r="G32" i="5" s="1"/>
  <c r="G33" i="5" s="1"/>
  <c r="G34" i="5" s="1"/>
  <c r="G35" i="5" s="1"/>
  <c r="G36" i="5" s="1"/>
  <c r="G37" i="5" s="1"/>
  <c r="G38" i="5" s="1"/>
  <c r="G39" i="5" s="1"/>
  <c r="G40" i="5" s="1"/>
  <c r="D29" i="5" a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C29" i="5" a="1"/>
  <c r="C29" i="5" s="1"/>
  <c r="C30" i="5" s="1"/>
  <c r="G17" i="5" a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D17" i="5" a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C17" i="5" a="1"/>
  <c r="C17" i="5" s="1"/>
  <c r="C18" i="5" s="1"/>
  <c r="G5" i="5" a="1"/>
  <c r="G5" i="5" s="1"/>
  <c r="G6" i="5" s="1"/>
  <c r="G7" i="5" s="1"/>
  <c r="G8" i="5" s="1"/>
  <c r="G9" i="5" s="1"/>
  <c r="G10" i="5" s="1"/>
  <c r="G11" i="5" s="1"/>
  <c r="G12" i="5" s="1"/>
  <c r="G13" i="5" s="1"/>
  <c r="G14" i="5" s="1"/>
  <c r="G15" i="5" s="1"/>
  <c r="G16" i="5" s="1"/>
  <c r="D5" i="5" a="1"/>
  <c r="D5" i="5" s="1"/>
  <c r="D6" i="5" s="1"/>
  <c r="D7" i="5" s="1"/>
  <c r="D8" i="5" s="1"/>
  <c r="D9" i="5" s="1"/>
  <c r="D10" i="5" s="1"/>
  <c r="D11" i="5" s="1"/>
  <c r="D12" i="5" s="1"/>
  <c r="D13" i="5" s="1"/>
  <c r="D14" i="5" s="1"/>
  <c r="D15" i="5" s="1"/>
  <c r="D16" i="5" s="1"/>
  <c r="C5" i="5" a="1"/>
  <c r="C5" i="5" s="1"/>
  <c r="B10" i="9"/>
  <c r="B8" i="8" s="1"/>
  <c r="B9" i="9"/>
  <c r="B7" i="8" s="1"/>
  <c r="B8" i="9"/>
  <c r="B7" i="9"/>
  <c r="D10" i="6" l="1"/>
  <c r="E10" i="6" s="1"/>
  <c r="D7" i="6"/>
  <c r="E7" i="6" s="1"/>
  <c r="E5" i="5"/>
  <c r="C6" i="5"/>
  <c r="C7" i="5" s="1"/>
  <c r="C8" i="5" s="1"/>
  <c r="D8" i="6"/>
  <c r="E8" i="6" s="1"/>
  <c r="E29" i="5"/>
  <c r="F29" i="5" s="1"/>
  <c r="E18" i="5"/>
  <c r="C19" i="5"/>
  <c r="T5" i="9"/>
  <c r="E30" i="5"/>
  <c r="C31" i="5"/>
  <c r="E17" i="5"/>
  <c r="O5" i="9" s="1"/>
  <c r="D9" i="6"/>
  <c r="E9" i="6" s="1"/>
  <c r="J10" i="6"/>
  <c r="D6" i="6"/>
  <c r="E6" i="6" s="1"/>
  <c r="D11" i="6"/>
  <c r="E11" i="6" s="1"/>
  <c r="D5" i="6"/>
  <c r="E5" i="6" s="1"/>
  <c r="E8" i="8" a="1"/>
  <c r="E8" i="8" s="1"/>
  <c r="E8" i="9" s="1"/>
  <c r="F8" i="8" a="1"/>
  <c r="F8" i="8" s="1"/>
  <c r="F8" i="9" s="1"/>
  <c r="B6" i="8"/>
  <c r="B5" i="8"/>
  <c r="F5" i="5" l="1"/>
  <c r="H5" i="5" s="1"/>
  <c r="I5" i="5" s="1"/>
  <c r="E7" i="5"/>
  <c r="T7" i="9" s="1"/>
  <c r="E6" i="5"/>
  <c r="O6" i="9" s="1"/>
  <c r="P6" i="9" s="1"/>
  <c r="Q6" i="9" s="1"/>
  <c r="V5" i="9"/>
  <c r="H29" i="5"/>
  <c r="I29" i="5" s="1"/>
  <c r="J5" i="5"/>
  <c r="K5" i="5" s="1"/>
  <c r="F30" i="5"/>
  <c r="H30" i="5" s="1"/>
  <c r="V6" i="9"/>
  <c r="F17" i="5"/>
  <c r="H17" i="5" s="1"/>
  <c r="U5" i="9"/>
  <c r="C9" i="5"/>
  <c r="E8" i="5"/>
  <c r="E31" i="5"/>
  <c r="C32" i="5"/>
  <c r="C20" i="5"/>
  <c r="E19" i="5"/>
  <c r="F18" i="5"/>
  <c r="H18" i="5" s="1"/>
  <c r="U6" i="9"/>
  <c r="P5" i="9"/>
  <c r="F6" i="5" l="1"/>
  <c r="H6" i="5" s="1"/>
  <c r="J6" i="5" s="1"/>
  <c r="K6" i="5" s="1"/>
  <c r="J29" i="5"/>
  <c r="K29" i="5" s="1"/>
  <c r="T6" i="9"/>
  <c r="F7" i="5"/>
  <c r="H7" i="5" s="1"/>
  <c r="J7" i="5" s="1"/>
  <c r="K7" i="5" s="1"/>
  <c r="J17" i="5"/>
  <c r="K17" i="5" s="1"/>
  <c r="I17" i="5"/>
  <c r="J30" i="5"/>
  <c r="K30" i="5" s="1"/>
  <c r="I30" i="5"/>
  <c r="V7" i="9"/>
  <c r="F31" i="5"/>
  <c r="H31" i="5" s="1"/>
  <c r="F8" i="5"/>
  <c r="H8" i="5" s="1"/>
  <c r="T8" i="9"/>
  <c r="C10" i="5"/>
  <c r="E9" i="5"/>
  <c r="U7" i="9"/>
  <c r="F19" i="5"/>
  <c r="H19" i="5" s="1"/>
  <c r="O7" i="9"/>
  <c r="J18" i="5"/>
  <c r="K18" i="5" s="1"/>
  <c r="I18" i="5"/>
  <c r="E20" i="5"/>
  <c r="C21" i="5"/>
  <c r="C33" i="5"/>
  <c r="E32" i="5"/>
  <c r="Q5" i="9"/>
  <c r="I6" i="5" l="1"/>
  <c r="I7" i="5"/>
  <c r="J19" i="5"/>
  <c r="K19" i="5" s="1"/>
  <c r="I19" i="5"/>
  <c r="J8" i="5"/>
  <c r="K8" i="5" s="1"/>
  <c r="I8" i="5"/>
  <c r="J31" i="5"/>
  <c r="K31" i="5" s="1"/>
  <c r="I31" i="5"/>
  <c r="F32" i="5"/>
  <c r="H32" i="5" s="1"/>
  <c r="V8" i="9"/>
  <c r="C11" i="5"/>
  <c r="E10" i="5"/>
  <c r="P7" i="9"/>
  <c r="F9" i="5"/>
  <c r="H9" i="5" s="1"/>
  <c r="T9" i="9"/>
  <c r="C22" i="5"/>
  <c r="E21" i="5"/>
  <c r="C34" i="5"/>
  <c r="E33" i="5"/>
  <c r="F20" i="5"/>
  <c r="H20" i="5" s="1"/>
  <c r="U8" i="9"/>
  <c r="O8" i="9"/>
  <c r="P8" i="9" s="1"/>
  <c r="Q8" i="9" s="1"/>
  <c r="J9" i="5" l="1"/>
  <c r="K9" i="5" s="1"/>
  <c r="I9" i="5"/>
  <c r="I20" i="5"/>
  <c r="J20" i="5"/>
  <c r="K20" i="5" s="1"/>
  <c r="I32" i="5"/>
  <c r="J32" i="5"/>
  <c r="K32" i="5" s="1"/>
  <c r="E11" i="5"/>
  <c r="C12" i="5"/>
  <c r="E34" i="5"/>
  <c r="C35" i="5"/>
  <c r="V9" i="9"/>
  <c r="F33" i="5"/>
  <c r="H33" i="5" s="1"/>
  <c r="E22" i="5"/>
  <c r="C23" i="5"/>
  <c r="Q7" i="9"/>
  <c r="T10" i="9"/>
  <c r="F10" i="5"/>
  <c r="H10" i="5" s="1"/>
  <c r="F21" i="5"/>
  <c r="H21" i="5" s="1"/>
  <c r="U9" i="9"/>
  <c r="O9" i="9"/>
  <c r="P9" i="9" s="1"/>
  <c r="Q9" i="9" s="1"/>
  <c r="J33" i="5" l="1"/>
  <c r="K33" i="5" s="1"/>
  <c r="I33" i="5"/>
  <c r="J21" i="5"/>
  <c r="K21" i="5" s="1"/>
  <c r="I21" i="5"/>
  <c r="J10" i="5"/>
  <c r="K10" i="5" s="1"/>
  <c r="I10" i="5"/>
  <c r="U10" i="9"/>
  <c r="F22" i="5"/>
  <c r="H22" i="5" s="1"/>
  <c r="O10" i="9"/>
  <c r="P10" i="9" s="1"/>
  <c r="Q10" i="9" s="1"/>
  <c r="C36" i="5"/>
  <c r="E35" i="5"/>
  <c r="F34" i="5"/>
  <c r="H34" i="5" s="1"/>
  <c r="V10" i="9"/>
  <c r="C13" i="5"/>
  <c r="E12" i="5"/>
  <c r="F11" i="5"/>
  <c r="H11" i="5" s="1"/>
  <c r="T11" i="9"/>
  <c r="C24" i="5"/>
  <c r="E23" i="5"/>
  <c r="I11" i="5" l="1"/>
  <c r="J11" i="5"/>
  <c r="K11" i="5" s="1"/>
  <c r="J34" i="5"/>
  <c r="K34" i="5" s="1"/>
  <c r="I34" i="5"/>
  <c r="J22" i="5"/>
  <c r="K22" i="5" s="1"/>
  <c r="I22" i="5"/>
  <c r="F23" i="5"/>
  <c r="H23" i="5" s="1"/>
  <c r="U11" i="9"/>
  <c r="O11" i="9"/>
  <c r="P11" i="9" s="1"/>
  <c r="Q11" i="9" s="1"/>
  <c r="F35" i="5"/>
  <c r="H35" i="5" s="1"/>
  <c r="V11" i="9"/>
  <c r="C25" i="5"/>
  <c r="E24" i="5"/>
  <c r="F12" i="5"/>
  <c r="H12" i="5" s="1"/>
  <c r="T12" i="9"/>
  <c r="E13" i="5"/>
  <c r="C14" i="5"/>
  <c r="E36" i="5"/>
  <c r="C37" i="5"/>
  <c r="J12" i="5" l="1"/>
  <c r="K12" i="5" s="1"/>
  <c r="I12" i="5"/>
  <c r="J35" i="5"/>
  <c r="K35" i="5" s="1"/>
  <c r="I35" i="5"/>
  <c r="J23" i="5"/>
  <c r="K23" i="5" s="1"/>
  <c r="I23" i="5"/>
  <c r="U12" i="9"/>
  <c r="F24" i="5"/>
  <c r="H24" i="5" s="1"/>
  <c r="O12" i="9"/>
  <c r="P12" i="9" s="1"/>
  <c r="Q12" i="9" s="1"/>
  <c r="C38" i="5"/>
  <c r="E37" i="5"/>
  <c r="E14" i="5"/>
  <c r="C15" i="5"/>
  <c r="T13" i="9"/>
  <c r="F13" i="5"/>
  <c r="H13" i="5" s="1"/>
  <c r="C26" i="5"/>
  <c r="E25" i="5"/>
  <c r="V12" i="9"/>
  <c r="F36" i="5"/>
  <c r="H36" i="5" s="1"/>
  <c r="J24" i="5" l="1"/>
  <c r="K24" i="5" s="1"/>
  <c r="I24" i="5"/>
  <c r="J13" i="5"/>
  <c r="K13" i="5" s="1"/>
  <c r="I13" i="5"/>
  <c r="I36" i="5"/>
  <c r="J36" i="5"/>
  <c r="K36" i="5" s="1"/>
  <c r="V13" i="9"/>
  <c r="F37" i="5"/>
  <c r="H37" i="5" s="1"/>
  <c r="E38" i="5"/>
  <c r="C39" i="5"/>
  <c r="C27" i="5"/>
  <c r="E26" i="5"/>
  <c r="F25" i="5"/>
  <c r="H25" i="5" s="1"/>
  <c r="U13" i="9"/>
  <c r="O13" i="9"/>
  <c r="P13" i="9" s="1"/>
  <c r="E15" i="5"/>
  <c r="C16" i="5"/>
  <c r="E16" i="5" s="1"/>
  <c r="T14" i="9"/>
  <c r="F14" i="5"/>
  <c r="H14" i="5" s="1"/>
  <c r="J25" i="5" l="1"/>
  <c r="K25" i="5" s="1"/>
  <c r="I25" i="5"/>
  <c r="J14" i="5"/>
  <c r="K14" i="5" s="1"/>
  <c r="I14" i="5"/>
  <c r="J37" i="5"/>
  <c r="K37" i="5" s="1"/>
  <c r="I37" i="5"/>
  <c r="F15" i="5"/>
  <c r="H15" i="5" s="1"/>
  <c r="T15" i="9"/>
  <c r="Q13" i="9"/>
  <c r="U14" i="9"/>
  <c r="F26" i="5"/>
  <c r="H26" i="5" s="1"/>
  <c r="O14" i="9"/>
  <c r="P14" i="9" s="1"/>
  <c r="Q14" i="9" s="1"/>
  <c r="E27" i="5"/>
  <c r="E6" i="8" s="1" a="1"/>
  <c r="E6" i="8" s="1"/>
  <c r="C28" i="5"/>
  <c r="E28" i="5" s="1"/>
  <c r="E39" i="5"/>
  <c r="C40" i="5"/>
  <c r="E40" i="5" s="1"/>
  <c r="F38" i="5"/>
  <c r="H38" i="5" s="1"/>
  <c r="V14" i="9"/>
  <c r="F16" i="5"/>
  <c r="H16" i="5" s="1"/>
  <c r="T16" i="9"/>
  <c r="E5" i="8" l="1" a="1"/>
  <c r="E5" i="8" s="1"/>
  <c r="E5" i="9" s="1"/>
  <c r="F5" i="8" a="1"/>
  <c r="F5" i="8" s="1"/>
  <c r="F5" i="9" s="1"/>
  <c r="E6" i="9"/>
  <c r="F6" i="8" a="1"/>
  <c r="F6" i="8" s="1"/>
  <c r="F6" i="9" s="1"/>
  <c r="E7" i="8"/>
  <c r="E7" i="9" s="1"/>
  <c r="J26" i="5"/>
  <c r="K26" i="5" s="1"/>
  <c r="I26" i="5"/>
  <c r="J15" i="5"/>
  <c r="K15" i="5" s="1"/>
  <c r="I15" i="5"/>
  <c r="I16" i="5"/>
  <c r="J16" i="5"/>
  <c r="K16" i="5" s="1"/>
  <c r="J38" i="5"/>
  <c r="K38" i="5" s="1"/>
  <c r="I38" i="5"/>
  <c r="F27" i="5"/>
  <c r="H27" i="5" s="1"/>
  <c r="U15" i="9"/>
  <c r="O15" i="9"/>
  <c r="P15" i="9" s="1"/>
  <c r="F39" i="5"/>
  <c r="H39" i="5" s="1"/>
  <c r="V15" i="9"/>
  <c r="U16" i="9"/>
  <c r="F28" i="5"/>
  <c r="H28" i="5" s="1"/>
  <c r="O16" i="9"/>
  <c r="V16" i="9"/>
  <c r="F40" i="5"/>
  <c r="H40" i="5" s="1"/>
  <c r="F7" i="8"/>
  <c r="F7" i="9" s="1"/>
  <c r="J39" i="5" l="1"/>
  <c r="K39" i="5" s="1"/>
  <c r="I39" i="5"/>
  <c r="J28" i="5"/>
  <c r="K28" i="5" s="1"/>
  <c r="I28" i="5"/>
  <c r="J40" i="5"/>
  <c r="K40" i="5" s="1"/>
  <c r="I40" i="5"/>
  <c r="Q15" i="9"/>
  <c r="J27" i="5"/>
  <c r="K27" i="5" s="1"/>
  <c r="I27" i="5"/>
  <c r="P16" i="9"/>
  <c r="E5" i="7"/>
  <c r="Q16" i="9" l="1"/>
  <c r="H5" i="7"/>
  <c r="K5" i="7" s="1"/>
  <c r="M5" i="7" a="1"/>
  <c r="M5" i="7" s="1"/>
  <c r="B13" i="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<sst xmlns="http://schemas.openxmlformats.org/spreadsheetml/2006/main" count="261" uniqueCount="176">
  <si>
    <t>Financial Forecasting &amp; Scenario Model</t>
  </si>
  <si>
    <t>Rolling 12-month planning model | Base, Optimistic and Stress scenarios | v1.0</t>
  </si>
  <si>
    <t>CONTENTS</t>
  </si>
  <si>
    <t>Dashboard</t>
  </si>
  <si>
    <t>Executive KPIs, scenario selector, forecast trends, scenario comparison, variance and sensitivity.</t>
  </si>
  <si>
    <t>Historical</t>
  </si>
  <si>
    <t>Monthly actual revenue, volume, price, COGS and operating expense inputs.</t>
  </si>
  <si>
    <t>Assumptions</t>
  </si>
  <si>
    <t>Scenario driver matrix for volume, price, COGS and operating expense.</t>
  </si>
  <si>
    <t>Scenarios</t>
  </si>
  <si>
    <t>Scenario labels and keys used by the dashboard selector.</t>
  </si>
  <si>
    <t>Forecast</t>
  </si>
  <si>
    <t>Live 12-month calculations for Base, Optimistic and Stress scenarios.</t>
  </si>
  <si>
    <t>Variance</t>
  </si>
  <si>
    <t>Seven-month backtest of actual performance versus a Base forecast.</t>
  </si>
  <si>
    <t>Sensitivity</t>
  </si>
  <si>
    <t>Low/high driver shocks and their impact on selected-scenario gross profit.</t>
  </si>
  <si>
    <t>Admin</t>
  </si>
  <si>
    <t>Model controls, named-range calculations, metadata and chart helper ranges.</t>
  </si>
  <si>
    <t>Historical Actuals</t>
  </si>
  <si>
    <t>Monthly source data used to seed the forecast and backtest the model.</t>
  </si>
  <si>
    <t>Month</t>
  </si>
  <si>
    <t>Revenue</t>
  </si>
  <si>
    <t>Volume</t>
  </si>
  <si>
    <t>Price</t>
  </si>
  <si>
    <t>COGS</t>
  </si>
  <si>
    <t>OpEx</t>
  </si>
  <si>
    <t>Scenario Assumptions</t>
  </si>
  <si>
    <t>Editable monthly drivers; percentage values are stored as true decimals.</t>
  </si>
  <si>
    <t>Driver</t>
  </si>
  <si>
    <t>Unit</t>
  </si>
  <si>
    <t>Base</t>
  </si>
  <si>
    <t>Optimistic</t>
  </si>
  <si>
    <t>Stress</t>
  </si>
  <si>
    <t>Volume growth % (monthly)</t>
  </si>
  <si>
    <t>%</t>
  </si>
  <si>
    <t>Price change % (monthly)</t>
  </si>
  <si>
    <t>COGS % of Revenue</t>
  </si>
  <si>
    <t>OpEx monthly change %</t>
  </si>
  <si>
    <t>Scenario Definitions</t>
  </si>
  <si>
    <t>Keys connect the selector to each assumption column.</t>
  </si>
  <si>
    <t>ScenarioName</t>
  </si>
  <si>
    <t>ScenarioKey</t>
  </si>
  <si>
    <t>Opt</t>
  </si>
  <si>
    <t>Model Administration</t>
  </si>
  <si>
    <t>Named controls, version metadata and chart support calculations.</t>
  </si>
  <si>
    <t>Control</t>
  </si>
  <si>
    <t>Value</t>
  </si>
  <si>
    <t>Forecast Start</t>
  </si>
  <si>
    <t>Model Version</t>
  </si>
  <si>
    <t>Volume Growth</t>
  </si>
  <si>
    <t>Price Change</t>
  </si>
  <si>
    <t>COGS %</t>
  </si>
  <si>
    <t>OpEx Change</t>
  </si>
  <si>
    <t>Discount Rate</t>
  </si>
  <si>
    <t>Last Updated</t>
  </si>
  <si>
    <t>Executive Forecast Dashboard</t>
  </si>
  <si>
    <t>Change the scenario or sensitivity multipliers; all KPIs, tables and charts recalculate.</t>
  </si>
  <si>
    <t>SENSITIVITY CONTROL</t>
  </si>
  <si>
    <t>VALUE</t>
  </si>
  <si>
    <t>Volume growth multiplier</t>
  </si>
  <si>
    <t>Price change multiplier</t>
  </si>
  <si>
    <t>COGS multiplier</t>
  </si>
  <si>
    <t>Discount rate</t>
  </si>
  <si>
    <t>12M Revenue</t>
  </si>
  <si>
    <t>Gross Profit</t>
  </si>
  <si>
    <t>Gross Margin</t>
  </si>
  <si>
    <t>STORY IN BRIEF</t>
  </si>
  <si>
    <t>Rolling 12-Month Forecast</t>
  </si>
  <si>
    <t>Live calculations for all three scenarios; Dashboard controls affect selected-scenario sensitivity.</t>
  </si>
  <si>
    <t>Scenario</t>
  </si>
  <si>
    <t>Net Cash Flow</t>
  </si>
  <si>
    <t>Discounted CF</t>
  </si>
  <si>
    <t>Automated Variance Analysis</t>
  </si>
  <si>
    <t>Base-scenario one-month-ahead backtest for June–December 2025 with driver contributions.</t>
  </si>
  <si>
    <t>Actual Revenue</t>
  </si>
  <si>
    <t>Forecast Revenue</t>
  </si>
  <si>
    <t>Variance %</t>
  </si>
  <si>
    <t>Actual GP</t>
  </si>
  <si>
    <t>Forecast GP</t>
  </si>
  <si>
    <t>Volume Contribution</t>
  </si>
  <si>
    <t>Price Contribution</t>
  </si>
  <si>
    <t>COGS Contribution</t>
  </si>
  <si>
    <t>OpEx Contribution</t>
  </si>
  <si>
    <t>Sensitivity Analysis</t>
  </si>
  <si>
    <t>Low/high shocks show the incremental impact on selected-scenario 12-month gross profit.</t>
  </si>
  <si>
    <t>Base Value</t>
  </si>
  <si>
    <t>Low Shock</t>
  </si>
  <si>
    <t>High Shock</t>
  </si>
  <si>
    <t>Impact Low</t>
  </si>
  <si>
    <t>Impact High</t>
  </si>
  <si>
    <t>Volume growth</t>
  </si>
  <si>
    <t>Price change</t>
  </si>
  <si>
    <t>OpEx monthly change</t>
  </si>
  <si>
    <t>Selected Revenue</t>
  </si>
  <si>
    <t>Selected Gross Profit</t>
  </si>
  <si>
    <t>Selected Margin</t>
  </si>
  <si>
    <t>Latest Contribution</t>
  </si>
  <si>
    <t>Selected Scenario</t>
  </si>
  <si>
    <t>Workbook README &amp; Model Guide</t>
  </si>
  <si>
    <t>How data, assumptions, scenarios, calculations, controls, and reporting connect.</t>
  </si>
  <si>
    <t>START HERE</t>
  </si>
  <si>
    <t>Use Dashboard for decisions and scenario testing. Update source actuals in Historical and scenario rates in Assumptions; Forecast, Variance, Sensitivity, Admin, and Dashboard then recalculate. Admin contains named controls and chart-support formulas and should normally be changed only by the model owner.</t>
  </si>
  <si>
    <t>WORKBOOK FLOW</t>
  </si>
  <si>
    <t>Step</t>
  </si>
  <si>
    <t>Sheet</t>
  </si>
  <si>
    <t>Role in the model</t>
  </si>
  <si>
    <t>What to edit</t>
  </si>
  <si>
    <t>Monthly actual revenue, volume, price, COGS and OpEx. Seeds the forecast and backtest.</t>
  </si>
  <si>
    <t>Append or replace validated actual months.</t>
  </si>
  <si>
    <t>Monthly drivers for Base, Optimistic and Stress scenarios.</t>
  </si>
  <si>
    <t>Edit scenario percentages only.</t>
  </si>
  <si>
    <t>Display names and scenario keys used by lookups and the selector.</t>
  </si>
  <si>
    <t>Change only if keys are updated everywhere.</t>
  </si>
  <si>
    <t>Live 12-month volume, price, revenue, costs, profit, margin and discounted cash flow.</t>
  </si>
  <si>
    <t>Normally do not overwrite formulas.</t>
  </si>
  <si>
    <t>One-month-ahead Base backtest with volume, price, COGS and OpEx contributions.</t>
  </si>
  <si>
    <t>Extend formulas when adding backtest months.</t>
  </si>
  <si>
    <t>Low/high driver shocks and incremental 12-month profit impacts.</t>
  </si>
  <si>
    <t>Edit Low Shock and High Shock values.</t>
  </si>
  <si>
    <t>Named control values and chart-support ranges used by Dashboard.</t>
  </si>
  <si>
    <t>Model-owner changes only.</t>
  </si>
  <si>
    <t>Scenario selection, sensitivity multipliers, KPIs, narrative and charts.</t>
  </si>
  <si>
    <t>Select scenario; adjust multipliers and discount rate.</t>
  </si>
  <si>
    <t>PRIMARY CONTROLS</t>
  </si>
  <si>
    <t>Location</t>
  </si>
  <si>
    <t>Effect</t>
  </si>
  <si>
    <t>Selected scenario</t>
  </si>
  <si>
    <t>Dashboard!C4</t>
  </si>
  <si>
    <t>Chooses Base, Optimistic or Stress for selected-scenario KPIs and charts.</t>
  </si>
  <si>
    <t>Volume multiplier</t>
  </si>
  <si>
    <t>Dashboard!C7</t>
  </si>
  <si>
    <t>Scales the selected scenario volume-growth assumption in Dashboard calculations.</t>
  </si>
  <si>
    <t>Price multiplier</t>
  </si>
  <si>
    <t>Dashboard!C8</t>
  </si>
  <si>
    <t>Scales the selected scenario price-change assumption in Dashboard calculations.</t>
  </si>
  <si>
    <t>Dashboard!C9</t>
  </si>
  <si>
    <t>Scales the selected scenario COGS percentage in Dashboard calculations.</t>
  </si>
  <si>
    <t>Dashboard!C10</t>
  </si>
  <si>
    <t>Discounts monthly cash flows used by the present-value KPI.</t>
  </si>
  <si>
    <t>Forecast start</t>
  </si>
  <si>
    <t>Admin!B5</t>
  </si>
  <si>
    <t>Sets the first forecast month and the 12-month reporting horizon.</t>
  </si>
  <si>
    <t>WHERE TO MODIFY LOGIC</t>
  </si>
  <si>
    <t>Logic area</t>
  </si>
  <si>
    <t>Primary location</t>
  </si>
  <si>
    <t>Modification guidance</t>
  </si>
  <si>
    <t>Scenario rates</t>
  </si>
  <si>
    <t>Assumptions!C5:E8</t>
  </si>
  <si>
    <t>Change monthly volume growth, price change, COGS percentage and OpEx growth by scenario.</t>
  </si>
  <si>
    <t>Forecast equations</t>
  </si>
  <si>
    <t>Forecast!C5:K40</t>
  </si>
  <si>
    <t>Edit table formulas only when changing methodology; keep structured references intact.</t>
  </si>
  <si>
    <t>Backtest methodology</t>
  </si>
  <si>
    <t>Variance!B5:K11</t>
  </si>
  <si>
    <t>Change forecast and contribution formulas here; month labels are linked to Historical.</t>
  </si>
  <si>
    <t>Sensitivity methodology</t>
  </si>
  <si>
    <t>Sensitivity!B5:F8</t>
  </si>
  <si>
    <t>Change shocks in columns C:D; formulas in E:F calculate incremental profit impact.</t>
  </si>
  <si>
    <t>Named controls</t>
  </si>
  <si>
    <t>Admin!A5:B12</t>
  </si>
  <si>
    <t>Named ranges connect Dashboard inputs to downstream formulas. Preserve names and target cells.</t>
  </si>
  <si>
    <t>Chart source ranges</t>
  </si>
  <si>
    <t>Admin!D4:Y16</t>
  </si>
  <si>
    <t>Dashboard charts bind to these helper ranges. Extend sources if the reporting horizon changes.</t>
  </si>
  <si>
    <t>SIGN &amp; SENSITIVITY CONVENTIONS</t>
  </si>
  <si>
    <t>1. Revenue and profit drivers: higher volume or price produces a positive profit impact; lower volume or price produces a negative impact.</t>
  </si>
  <si>
    <t>2. Cost drivers: higher COGS or OpEx produces a negative profit impact; lower costs produce a positive impact because costs are subtracted.</t>
  </si>
  <si>
    <t>3. “Low” and “High” describe the driver value, not the absolute size of the profit impact. Unequal shock distances can create unequal impact magnitudes.</t>
  </si>
  <si>
    <t>4. Variance contributions are favourable when positive and unfavourable when negative; cost formulas reverse the raw cost variance sign.</t>
  </si>
  <si>
    <t>MODEL MAINTENANCE</t>
  </si>
  <si>
    <t>1. Add new actuals to tblActuals in Historical using real Excel dates and consistent currency/number formats.</t>
  </si>
  <si>
    <t>2. Review tblAssumptions before each planning cycle; percentages are stored as decimals (for example, 1.5% = 0.015).</t>
  </si>
  <si>
    <t>3. When extending a horizon, extend table formulas and Admin chart-support ranges together, then verify Dashboard charts.</t>
  </si>
  <si>
    <t>4. Do not paste over Forecast, Variance, Sensitivity, or Admin formulas unless intentionally changing model logic.</t>
  </si>
  <si>
    <t>5. After structural changes, test all three scenarios and confirm Dashboard KPIs, narrative, and four charts update.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</si>
</sst>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\ yyyy"/>
    <numFmt numFmtId="165" formatCode="&quot;£&quot;#,##0"/>
    <numFmt numFmtId="166" formatCode="&quot;£&quot;0.00"/>
    <numFmt numFmtId="167" formatCode="0.0%"/>
    <numFmt numFmtId="168" formatCode="yyyy\-mm\-dd"/>
    <numFmt numFmtId="169" formatCode="0.00&quot;x&quot;"/>
  </numFmts>
  <fonts count="1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20"/>
      <color rgb="FFFFFFFF"/>
      <name val="Aptos Narrow"/>
      <family val="2"/>
      <scheme val="minor"/>
    </font>
    <font>
      <i/>
      <sz val="11"/>
      <color rgb="FF667085"/>
      <name val="Aptos Narrow"/>
      <family val="2"/>
      <scheme val="minor"/>
    </font>
    <font>
      <b/>
      <sz val="11"/>
      <color rgb="FF2E7D6E"/>
      <name val="Aptos Narrow"/>
      <family val="2"/>
      <scheme val="minor"/>
    </font>
    <font>
      <sz val="11"/>
      <color rgb="FF344054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rgb="FFFFFFFF"/>
      <name val="Aptos"/>
    </font>
    <font>
      <i/>
      <sz val="10"/>
      <color rgb="FF666666"/>
      <name val="Aptos"/>
    </font>
    <font>
      <sz val="11"/>
      <color theme="1"/>
      <name val="Aptos"/>
    </font>
    <font>
      <b/>
      <sz val="11"/>
      <color rgb="FFFFFFFF"/>
      <name val="Aptos"/>
    </font>
    <font>
      <sz val="11"/>
      <color rgb="FF243447"/>
      <name val="Aptos"/>
    </font>
    <font>
      <b/>
      <sz val="11"/>
      <color rgb="FF243447"/>
      <name val="Aptos"/>
    </font>
    <font>
      <b/>
      <sz val="11"/>
      <color theme="1"/>
      <name val="Aptos"/>
    </font>
    <font>
      <sz val="11"/>
      <color rgb="FF2F75B5"/>
      <name val="Aptos"/>
    </font>
  </fonts>
  <fills count="12">
    <fill>
      <patternFill patternType="none"/>
    </fill>
    <fill>
      <patternFill patternType="gray125"/>
    </fill>
    <fill>
      <patternFill patternType="solid">
        <fgColor rgb="FF243447"/>
        <bgColor indexed="64"/>
      </patternFill>
    </fill>
    <fill>
      <patternFill patternType="solid">
        <fgColor rgb="FF2E7D6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8FBFD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3" borderId="0" xfId="0" applyFont="1" applyFill="1" applyAlignment="1">
      <alignment horizontal="center"/>
    </xf>
    <xf numFmtId="0" fontId="0" fillId="4" borderId="0" xfId="0" applyFill="1"/>
    <xf numFmtId="164" fontId="0" fillId="4" borderId="0" xfId="0" applyNumberFormat="1" applyFill="1"/>
    <xf numFmtId="165" fontId="0" fillId="4" borderId="0" xfId="0" applyNumberFormat="1" applyFill="1"/>
    <xf numFmtId="167" fontId="0" fillId="4" borderId="0" xfId="0" applyNumberFormat="1" applyFill="1"/>
    <xf numFmtId="3" fontId="0" fillId="4" borderId="0" xfId="0" applyNumberFormat="1" applyFill="1"/>
    <xf numFmtId="166" fontId="0" fillId="4" borderId="0" xfId="0" applyNumberFormat="1" applyFill="1"/>
    <xf numFmtId="167" fontId="0" fillId="4" borderId="9" xfId="0" applyNumberForma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1" xfId="0" applyFill="1" applyBorder="1"/>
    <xf numFmtId="169" fontId="0" fillId="4" borderId="10" xfId="0" applyNumberFormat="1" applyFill="1" applyBorder="1"/>
    <xf numFmtId="0" fontId="0" fillId="4" borderId="10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65" fontId="0" fillId="4" borderId="1" xfId="0" applyNumberFormat="1" applyFill="1" applyBorder="1"/>
    <xf numFmtId="164" fontId="0" fillId="4" borderId="1" xfId="0" applyNumberFormat="1" applyFill="1" applyBorder="1"/>
    <xf numFmtId="167" fontId="0" fillId="4" borderId="1" xfId="0" applyNumberFormat="1" applyFill="1" applyBorder="1"/>
    <xf numFmtId="168" fontId="0" fillId="4" borderId="1" xfId="0" applyNumberFormat="1" applyFill="1" applyBorder="1"/>
    <xf numFmtId="164" fontId="0" fillId="4" borderId="1" xfId="0" applyNumberFormat="1" applyFill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/>
    </xf>
    <xf numFmtId="167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10" fillId="0" borderId="0" xfId="0" applyFont="1"/>
    <xf numFmtId="0" fontId="13" fillId="8" borderId="1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3" fillId="4" borderId="0" xfId="0" applyFont="1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165" fontId="7" fillId="4" borderId="0" xfId="0" applyNumberFormat="1" applyFont="1" applyFill="1" applyAlignment="1">
      <alignment horizontal="center" vertical="center"/>
    </xf>
    <xf numFmtId="165" fontId="7" fillId="4" borderId="6" xfId="0" applyNumberFormat="1" applyFont="1" applyFill="1" applyBorder="1" applyAlignment="1">
      <alignment horizontal="center" vertical="center"/>
    </xf>
    <xf numFmtId="165" fontId="7" fillId="4" borderId="8" xfId="0" applyNumberFormat="1" applyFont="1" applyFill="1" applyBorder="1" applyAlignment="1">
      <alignment horizontal="center" vertical="center"/>
    </xf>
    <xf numFmtId="165" fontId="7" fillId="4" borderId="9" xfId="0" applyNumberFormat="1" applyFont="1" applyFill="1" applyBorder="1" applyAlignment="1">
      <alignment horizontal="center" vertical="center"/>
    </xf>
    <xf numFmtId="0" fontId="1" fillId="4" borderId="0" xfId="0" applyFont="1" applyFill="1"/>
    <xf numFmtId="0" fontId="6" fillId="2" borderId="0" xfId="0" applyFont="1" applyFill="1" applyAlignment="1">
      <alignment horizontal="left" vertical="center"/>
    </xf>
    <xf numFmtId="165" fontId="7" fillId="4" borderId="2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7" fontId="7" fillId="4" borderId="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2" borderId="0" xfId="0" applyFont="1" applyFill="1"/>
    <xf numFmtId="0" fontId="5" fillId="4" borderId="13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vertical="center" wrapText="1"/>
    </xf>
    <xf numFmtId="0" fontId="10" fillId="9" borderId="14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/>
    </xf>
    <xf numFmtId="0" fontId="12" fillId="10" borderId="14" xfId="0" applyFont="1" applyFill="1" applyBorder="1" applyAlignment="1">
      <alignment vertical="center" wrapText="1"/>
    </xf>
    <xf numFmtId="0" fontId="12" fillId="11" borderId="14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4" fillId="9" borderId="14" xfId="0" applyFont="1" applyFill="1" applyBorder="1" applyAlignment="1">
      <alignment vertical="center" wrapText="1"/>
    </xf>
    <xf numFmtId="0" fontId="15" fillId="9" borderId="14" xfId="0" applyFont="1" applyFill="1" applyBorder="1" applyAlignment="1">
      <alignment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9" fillId="0" borderId="0" xfId="0" applyFont="1" applyAlignment="1">
      <alignment wrapText="1"/>
    </xf>
    <xf numFmtId="0" fontId="12" fillId="7" borderId="14" xfId="0" applyFont="1" applyFill="1" applyBorder="1" applyAlignment="1">
      <alignment vertical="center" wrapText="1"/>
    </xf>
    <xf numFmtId="0" fontId="6" fillId="2" borderId="0" xfId="0" applyFont="1" applyFill="1"/>
    <xf numFmtId="0" fontId="6" fillId="4" borderId="0" xfId="0" applyFont="1" applyFill="1"/>
    <xf numFmtId="0" fontId="3" fillId="0" borderId="0" xfId="0" applyFont="1"/>
  </cellXfs>
  <cellStyles count="1">
    <cellStyle name="Normal" xfId="0" builtinId="0"/>
  </cellStyles>
  <dxfs count="53">
    <dxf>
      <numFmt numFmtId="165" formatCode="&quot;£&quot;#,##0"/>
      <alignment wrapText="0"/>
    </dxf>
    <dxf>
      <numFmt numFmtId="165" formatCode="&quot;£&quot;#,##0"/>
      <alignment wrapText="0"/>
    </dxf>
    <dxf>
      <numFmt numFmtId="167" formatCode="0.0%"/>
      <alignment wrapText="0"/>
    </dxf>
    <dxf>
      <numFmt numFmtId="167" formatCode="0.0%"/>
      <alignment wrapText="0"/>
    </dxf>
    <dxf>
      <numFmt numFmtId="167" formatCode="0.0%"/>
      <alignment wrapText="0"/>
    </dxf>
    <dxf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6E"/>
        </patternFill>
      </fill>
      <alignment horizontal="center" vertical="bottom" textRotation="0" wrapText="0" indent="0" justifyLastLine="0" shrinkToFit="0" readingOrder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7" formatCode="0.0%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4" formatCode="mmm\ yyyy"/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6E"/>
        </patternFill>
      </fill>
      <alignment horizontal="center" vertical="bottom" textRotation="0" wrapText="0" indent="0" justifyLastLine="0" shrinkToFit="0" readingOrder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7" formatCode="0.0%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6" formatCode="&quot;£&quot;0.00"/>
      <alignment wrapText="0"/>
    </dxf>
    <dxf>
      <numFmt numFmtId="3" formatCode="#,##0"/>
      <alignment wrapText="0"/>
    </dxf>
    <dxf>
      <alignment wrapText="0"/>
    </dxf>
    <dxf>
      <numFmt numFmtId="164" formatCode="mmm\ yyyy"/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6E"/>
        </patternFill>
      </fill>
      <alignment horizontal="center" vertical="bottom" textRotation="0" wrapText="0" indent="0" justifyLastLine="0" shrinkToFit="0" readingOrder="0"/>
    </dxf>
    <dxf>
      <alignment wrapText="0"/>
    </dxf>
    <dxf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6E"/>
        </patternFill>
      </fill>
      <alignment horizontal="center" vertical="bottom" textRotation="0" wrapText="0" indent="0" justifyLastLine="0" shrinkToFit="0" readingOrder="0"/>
    </dxf>
    <dxf>
      <numFmt numFmtId="167" formatCode="0.0%"/>
      <alignment wrapText="0"/>
    </dxf>
    <dxf>
      <numFmt numFmtId="167" formatCode="0.0%"/>
      <alignment wrapText="0"/>
    </dxf>
    <dxf>
      <numFmt numFmtId="167" formatCode="0.0%"/>
      <alignment wrapText="0"/>
    </dxf>
    <dxf>
      <alignment wrapText="0"/>
    </dxf>
    <dxf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6E"/>
        </patternFill>
      </fill>
      <alignment horizontal="center" vertical="bottom" textRotation="0" wrapText="0" indent="0" justifyLastLine="0" shrinkToFit="0" readingOrder="0"/>
    </dxf>
    <dxf>
      <numFmt numFmtId="165" formatCode="&quot;£&quot;#,##0"/>
      <alignment wrapText="0"/>
    </dxf>
    <dxf>
      <numFmt numFmtId="165" formatCode="&quot;£&quot;#,##0"/>
      <alignment wrapText="0"/>
    </dxf>
    <dxf>
      <numFmt numFmtId="166" formatCode="&quot;£&quot;0.00"/>
      <alignment wrapText="0"/>
    </dxf>
    <dxf>
      <numFmt numFmtId="3" formatCode="#,##0"/>
      <alignment wrapText="0"/>
    </dxf>
    <dxf>
      <numFmt numFmtId="165" formatCode="&quot;£&quot;#,##0"/>
      <alignment wrapText="0"/>
    </dxf>
    <dxf>
      <numFmt numFmtId="164" formatCode="mmm\ yyyy"/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6E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Selected Scenario: Revenue &amp; Gross Profit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Admin!$O$4</c:f>
              <c:strCache>
                <c:ptCount val="1"/>
                <c:pt idx="0">
                  <c:v>Selected 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Admin!$N$5:$N$16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Admin!$O$5:$O$16</c:f>
              <c:numCache>
                <c:formatCode>"£"#,##0</c:formatCode>
                <c:ptCount val="12"/>
                <c:pt idx="0">
                  <c:v>152566.70435999997</c:v>
                </c:pt>
                <c:pt idx="1">
                  <c:v>155164.91533525076</c:v>
                </c:pt>
                <c:pt idx="2">
                  <c:v>157807.37384341005</c:v>
                </c:pt>
                <c:pt idx="3">
                  <c:v>160494.83341996331</c:v>
                </c:pt>
                <c:pt idx="4">
                  <c:v>163228.06043310527</c:v>
                </c:pt>
                <c:pt idx="5">
                  <c:v>166007.83430228103</c:v>
                </c:pt>
                <c:pt idx="6">
                  <c:v>168834.94772044886</c:v>
                </c:pt>
                <c:pt idx="7">
                  <c:v>171710.20688012807</c:v>
                </c:pt>
                <c:pt idx="8">
                  <c:v>174634.43170329666</c:v>
                </c:pt>
                <c:pt idx="9">
                  <c:v>177608.45607520378</c:v>
                </c:pt>
                <c:pt idx="10">
                  <c:v>180633.12808216445</c:v>
                </c:pt>
                <c:pt idx="11">
                  <c:v>183709.31025340373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F-4347-9F70-FEF195A82C9A}"/>
            </c:ext>
          </c:extLst>
        </c:ser>
        <c:ser>
          <c:idx val="1"/>
          <c:order val="1"/>
          <c:tx>
            <c:strRef>
              <c:f>Admin!$P$4</c:f>
              <c:strCache>
                <c:ptCount val="1"/>
                <c:pt idx="0">
                  <c:v>Selected Gross Profit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Admin!$N$5:$N$16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Admin!$P$5:$P$16</c:f>
              <c:numCache>
                <c:formatCode>"£"#,##0</c:formatCode>
                <c:ptCount val="12"/>
                <c:pt idx="0">
                  <c:v>63400.022615999987</c:v>
                </c:pt>
                <c:pt idx="1">
                  <c:v>64818.249201150451</c:v>
                </c:pt>
                <c:pt idx="2">
                  <c:v>66262.320806046046</c:v>
                </c:pt>
                <c:pt idx="3">
                  <c:v>67732.686034477985</c:v>
                </c:pt>
                <c:pt idx="4">
                  <c:v>69229.801172275678</c:v>
                </c:pt>
                <c:pt idx="5">
                  <c:v>70754.130318343203</c:v>
                </c:pt>
                <c:pt idx="6">
                  <c:v>72306.145517928773</c:v>
                </c:pt>
                <c:pt idx="7">
                  <c:v>73886.326898164611</c:v>
                </c:pt>
                <c:pt idx="8">
                  <c:v>75495.162805916189</c:v>
                </c:pt>
                <c:pt idx="9">
                  <c:v>77133.149947980157</c:v>
                </c:pt>
                <c:pt idx="10">
                  <c:v>78800.793533670862</c:v>
                </c:pt>
                <c:pt idx="11">
                  <c:v>80498.607419836291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9F-4347-9F70-FEF195A82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536256"/>
        <c:axId val="1203546352"/>
      </c:lineChart>
      <c:dateAx>
        <c:axId val="1216536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3546352"/>
        <c:crosses val="autoZero"/>
        <c:auto val="0"/>
        <c:lblOffset val="100"/>
        <c:baseTimeUnit val="months"/>
      </c:dateAx>
      <c:valAx>
        <c:axId val="120354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Monthly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£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53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Scenario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Admin!$T$4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Admin!$S$5:$S$16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Admin!$T$5:$T$16</c:f>
              <c:numCache>
                <c:formatCode>"£"#,##0</c:formatCode>
                <c:ptCount val="12"/>
                <c:pt idx="0">
                  <c:v>152566.70435999997</c:v>
                </c:pt>
                <c:pt idx="1">
                  <c:v>155164.91533525076</c:v>
                </c:pt>
                <c:pt idx="2">
                  <c:v>157807.37384341005</c:v>
                </c:pt>
                <c:pt idx="3">
                  <c:v>160494.83341996331</c:v>
                </c:pt>
                <c:pt idx="4">
                  <c:v>163228.06043310527</c:v>
                </c:pt>
                <c:pt idx="5">
                  <c:v>166007.83430228103</c:v>
                </c:pt>
                <c:pt idx="6">
                  <c:v>168834.94772044886</c:v>
                </c:pt>
                <c:pt idx="7">
                  <c:v>171710.20688012807</c:v>
                </c:pt>
                <c:pt idx="8">
                  <c:v>174634.43170329666</c:v>
                </c:pt>
                <c:pt idx="9">
                  <c:v>177608.45607520378</c:v>
                </c:pt>
                <c:pt idx="10">
                  <c:v>180633.12808216445</c:v>
                </c:pt>
                <c:pt idx="11">
                  <c:v>183709.31025340373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04-4C14-9317-353A1A30B852}"/>
            </c:ext>
          </c:extLst>
        </c:ser>
        <c:ser>
          <c:idx val="1"/>
          <c:order val="1"/>
          <c:tx>
            <c:strRef>
              <c:f>Admin!$U$4</c:f>
              <c:strCache>
                <c:ptCount val="1"/>
                <c:pt idx="0">
                  <c:v>Optimistic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Admin!$S$5:$S$16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Admin!$U$5:$U$16</c:f>
              <c:numCache>
                <c:formatCode>"£"#,##0</c:formatCode>
                <c:ptCount val="12"/>
                <c:pt idx="0">
                  <c:v>155284.92179999998</c:v>
                </c:pt>
                <c:pt idx="1">
                  <c:v>160743.18680126997</c:v>
                </c:pt>
                <c:pt idx="2">
                  <c:v>166393.30981733461</c:v>
                </c:pt>
                <c:pt idx="3">
                  <c:v>172242.03465741393</c:v>
                </c:pt>
                <c:pt idx="4">
                  <c:v>178296.34217562203</c:v>
                </c:pt>
                <c:pt idx="5">
                  <c:v>184563.45860309512</c:v>
                </c:pt>
                <c:pt idx="6">
                  <c:v>191050.86417299393</c:v>
                </c:pt>
                <c:pt idx="7">
                  <c:v>197766.30204867464</c:v>
                </c:pt>
                <c:pt idx="8">
                  <c:v>204717.78756568555</c:v>
                </c:pt>
                <c:pt idx="9">
                  <c:v>211913.61779861935</c:v>
                </c:pt>
                <c:pt idx="10">
                  <c:v>219362.38146424081</c:v>
                </c:pt>
                <c:pt idx="11">
                  <c:v>227072.96917270884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04-4C14-9317-353A1A30B852}"/>
            </c:ext>
          </c:extLst>
        </c:ser>
        <c:ser>
          <c:idx val="2"/>
          <c:order val="2"/>
          <c:tx>
            <c:strRef>
              <c:f>Admin!$V$4</c:f>
              <c:strCache>
                <c:ptCount val="1"/>
                <c:pt idx="0">
                  <c:v>Stress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Admin!$S$5:$S$16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Admin!$V$5:$V$16</c:f>
              <c:numCache>
                <c:formatCode>"£"#,##0</c:formatCode>
                <c:ptCount val="12"/>
                <c:pt idx="0">
                  <c:v>147769.32060000001</c:v>
                </c:pt>
                <c:pt idx="1">
                  <c:v>145560.16925703001</c:v>
                </c:pt>
                <c:pt idx="2">
                  <c:v>143384.0447266374</c:v>
                </c:pt>
                <c:pt idx="3">
                  <c:v>141240.45325797415</c:v>
                </c:pt>
                <c:pt idx="4">
                  <c:v>139128.90848176743</c:v>
                </c:pt>
                <c:pt idx="5">
                  <c:v>137048.93129996498</c:v>
                </c:pt>
                <c:pt idx="6">
                  <c:v>135000.04977703051</c:v>
                </c:pt>
                <c:pt idx="7">
                  <c:v>132981.7990328639</c:v>
                </c:pt>
                <c:pt idx="8">
                  <c:v>130993.72113732257</c:v>
                </c:pt>
                <c:pt idx="9">
                  <c:v>129035.3650063196</c:v>
                </c:pt>
                <c:pt idx="10">
                  <c:v>127106.28629947512</c:v>
                </c:pt>
                <c:pt idx="11">
                  <c:v>125206.04731929796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04-4C14-9317-353A1A30B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8749728"/>
        <c:axId val="1203564112"/>
      </c:lineChart>
      <c:dateAx>
        <c:axId val="1208749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3564112"/>
        <c:crosses val="autoZero"/>
        <c:auto val="0"/>
        <c:lblOffset val="100"/>
        <c:baseTimeUnit val="months"/>
      </c:dateAx>
      <c:valAx>
        <c:axId val="1203564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Monthly revenue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£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87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Gross Profit Sensitivity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Admin!$E$4</c:f>
              <c:strCache>
                <c:ptCount val="1"/>
                <c:pt idx="0">
                  <c:v>Impact Low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Admin!$D$5:$D$8</c:f>
              <c:strCache>
                <c:ptCount val="4"/>
                <c:pt idx="0">
                  <c:v>Volume growth</c:v>
                </c:pt>
                <c:pt idx="1">
                  <c:v>Price change</c:v>
                </c:pt>
                <c:pt idx="2">
                  <c:v>COGS % of Revenue</c:v>
                </c:pt>
                <c:pt idx="3">
                  <c:v>OpEx monthly change</c:v>
                </c:pt>
              </c:strCache>
            </c:strRef>
          </c:cat>
          <c:val>
            <c:numRef>
              <c:f>Admin!$E$5:$E$8</c:f>
              <c:numCache>
                <c:formatCode>"£"#,##0</c:formatCode>
                <c:ptCount val="4"/>
                <c:pt idx="0">
                  <c:v>-182035.60935408261</c:v>
                </c:pt>
                <c:pt idx="1">
                  <c:v>-55074.85289167126</c:v>
                </c:pt>
                <c:pt idx="2">
                  <c:v>40248.004048173156</c:v>
                </c:pt>
                <c:pt idx="3">
                  <c:v>6722.5324352867392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E3-4376-A99A-E8447410B215}"/>
            </c:ext>
          </c:extLst>
        </c:ser>
        <c:ser>
          <c:idx val="1"/>
          <c:order val="1"/>
          <c:tx>
            <c:strRef>
              <c:f>Admin!$F$4</c:f>
              <c:strCache>
                <c:ptCount val="1"/>
                <c:pt idx="0">
                  <c:v>Impact High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Admin!$D$5:$D$8</c:f>
              <c:strCache>
                <c:ptCount val="4"/>
                <c:pt idx="0">
                  <c:v>Volume growth</c:v>
                </c:pt>
                <c:pt idx="1">
                  <c:v>Price change</c:v>
                </c:pt>
                <c:pt idx="2">
                  <c:v>COGS % of Revenue</c:v>
                </c:pt>
                <c:pt idx="3">
                  <c:v>OpEx monthly change</c:v>
                </c:pt>
              </c:strCache>
            </c:strRef>
          </c:cat>
          <c:val>
            <c:numRef>
              <c:f>Admin!$F$5:$F$8</c:f>
              <c:numCache>
                <c:formatCode>"£"#,##0</c:formatCode>
                <c:ptCount val="4"/>
                <c:pt idx="0">
                  <c:v>126432.75092502088</c:v>
                </c:pt>
                <c:pt idx="1">
                  <c:v>24498.229938249402</c:v>
                </c:pt>
                <c:pt idx="2">
                  <c:v>-100620.01012043278</c:v>
                </c:pt>
                <c:pt idx="3">
                  <c:v>-23508.503689051831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E3-4376-A99A-E8447410B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16478720"/>
        <c:axId val="1203631312"/>
      </c:barChart>
      <c:catAx>
        <c:axId val="1216478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3631312"/>
        <c:crosses val="autoZero"/>
        <c:auto val="1"/>
        <c:lblAlgn val="ctr"/>
        <c:lblOffset val="100"/>
        <c:noMultiLvlLbl val="0"/>
      </c:catAx>
      <c:valAx>
        <c:axId val="120363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478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Latest Variance Driver Bridge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Admin!$Y$4</c:f>
              <c:strCache>
                <c:ptCount val="1"/>
                <c:pt idx="0">
                  <c:v>Latest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Admin!$X$5:$X$8</c:f>
              <c:strCache>
                <c:ptCount val="4"/>
                <c:pt idx="0">
                  <c:v>Volume</c:v>
                </c:pt>
                <c:pt idx="1">
                  <c:v>Price</c:v>
                </c:pt>
                <c:pt idx="2">
                  <c:v>COGS</c:v>
                </c:pt>
                <c:pt idx="3">
                  <c:v>OpEx</c:v>
                </c:pt>
              </c:strCache>
            </c:strRef>
          </c:cat>
          <c:val>
            <c:numRef>
              <c:f>Admin!$Y$5:$Y$8</c:f>
              <c:numCache>
                <c:formatCode>"£"#,##0</c:formatCode>
                <c:ptCount val="4"/>
                <c:pt idx="0">
                  <c:v>4057.7250000000186</c:v>
                </c:pt>
                <c:pt idx="1">
                  <c:v>1034.6400000000187</c:v>
                </c:pt>
                <c:pt idx="2">
                  <c:v>0</c:v>
                </c:pt>
                <c:pt idx="3">
                  <c:v>-613.75000000000364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1-42D7-B930-CDBE2ECF29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892939376"/>
        <c:axId val="1935175152"/>
      </c:barChart>
      <c:catAx>
        <c:axId val="1892939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175152"/>
        <c:crosses val="autoZero"/>
        <c:auto val="1"/>
        <c:lblAlgn val="ctr"/>
        <c:lblOffset val="100"/>
        <c:noMultiLvlLbl val="0"/>
      </c:catAx>
      <c:valAx>
        <c:axId val="193517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293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7</xdr:col>
      <xdr:colOff>114300</xdr:colOff>
      <xdr:row>29</xdr:row>
      <xdr:rowOff>0</xdr:rowOff>
    </xdr:to>
    <xdr:graphicFrame macro="">
      <xdr:nvGraphicFramePr>
        <xdr:cNvPr id="10" name="Selected Forecast Trend">
          <a:extLst>
            <a:ext uri="{FF2B5EF4-FFF2-40B4-BE49-F238E27FC236}">
              <a16:creationId xmlns:a16="http://schemas.microsoft.com/office/drawing/2014/main" id="{C22B97FC-4CB6-0D70-05D9-9E6DA2B581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638175</xdr:colOff>
      <xdr:row>14</xdr:row>
      <xdr:rowOff>0</xdr:rowOff>
    </xdr:from>
    <xdr:to>
      <xdr:col>14</xdr:col>
      <xdr:colOff>514350</xdr:colOff>
      <xdr:row>29</xdr:row>
      <xdr:rowOff>0</xdr:rowOff>
    </xdr:to>
    <xdr:graphicFrame macro="">
      <xdr:nvGraphicFramePr>
        <xdr:cNvPr id="11" name="Scenario Revenue Comparison">
          <a:extLst>
            <a:ext uri="{FF2B5EF4-FFF2-40B4-BE49-F238E27FC236}">
              <a16:creationId xmlns:a16="http://schemas.microsoft.com/office/drawing/2014/main" id="{AE831CA7-D866-1382-3CB9-AA4E3F0932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30</xdr:row>
      <xdr:rowOff>190499</xdr:rowOff>
    </xdr:from>
    <xdr:to>
      <xdr:col>7</xdr:col>
      <xdr:colOff>123825</xdr:colOff>
      <xdr:row>50</xdr:row>
      <xdr:rowOff>142874</xdr:rowOff>
    </xdr:to>
    <xdr:graphicFrame macro="">
      <xdr:nvGraphicFramePr>
        <xdr:cNvPr id="14" name="Sensitivity Tornado">
          <a:extLst>
            <a:ext uri="{FF2B5EF4-FFF2-40B4-BE49-F238E27FC236}">
              <a16:creationId xmlns:a16="http://schemas.microsoft.com/office/drawing/2014/main" id="{9C6814E3-16DD-5899-3EF7-D2DA8A2532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638175</xdr:colOff>
      <xdr:row>31</xdr:row>
      <xdr:rowOff>0</xdr:rowOff>
    </xdr:from>
    <xdr:to>
      <xdr:col>14</xdr:col>
      <xdr:colOff>514350</xdr:colOff>
      <xdr:row>50</xdr:row>
      <xdr:rowOff>152400</xdr:rowOff>
    </xdr:to>
    <xdr:graphicFrame macro="">
      <xdr:nvGraphicFramePr>
        <xdr:cNvPr id="15" name="Variance Driver Bridge">
          <a:extLst>
            <a:ext uri="{FF2B5EF4-FFF2-40B4-BE49-F238E27FC236}">
              <a16:creationId xmlns:a16="http://schemas.microsoft.com/office/drawing/2014/main" id="{5A8149FB-F182-87D6-8CE4-8187F0BE1F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8AB242-E8CE-4020-9BC1-19FDAA660613}" name="tblActuals" displayName="tblActuals" ref="A4:F12" totalsRowShown="0" headerRowDxfId="52" dataDxfId="51">
  <autoFilter ref="A4:F12" xr:uid="{998AB242-E8CE-4020-9BC1-19FDAA660613}"/>
  <tableColumns count="6">
    <tableColumn id="1" xr3:uid="{86D1DBF4-252E-4C73-B2B0-C8F43EC0D2F2}" name="Month" dataDxfId="50"/>
    <tableColumn id="2" xr3:uid="{24B03E9B-FADC-4A56-8844-BC4BD147660B}" name="Revenue" dataDxfId="49"/>
    <tableColumn id="3" xr3:uid="{F9097C03-2B26-4B72-9FDA-408D1ACC7884}" name="Volume" dataDxfId="48"/>
    <tableColumn id="4" xr3:uid="{2B611E0C-2664-4885-B8ED-56D844A8463A}" name="Price" dataDxfId="47"/>
    <tableColumn id="5" xr3:uid="{586B18E8-C447-467F-9F58-08786E7E755C}" name="COGS" dataDxfId="46"/>
    <tableColumn id="6" xr3:uid="{93C0267F-1490-454A-9EBE-F65CBEC0462A}" name="OpEx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D43EF5-8A96-46C3-83B9-15A68FE7BDEB}" name="tblAssumptions" displayName="tblAssumptions" ref="A4:E8" totalsRowShown="0" headerRowDxfId="44" dataDxfId="43">
  <autoFilter ref="A4:E8" xr:uid="{4DD43EF5-8A96-46C3-83B9-15A68FE7BDEB}"/>
  <tableColumns count="5">
    <tableColumn id="1" xr3:uid="{D01CEFE9-8B98-4C66-8074-E25CAE5E9F43}" name="Driver" dataDxfId="42"/>
    <tableColumn id="2" xr3:uid="{66779D5E-1826-45DC-AEE1-2E66F561358E}" name="Unit" dataDxfId="41"/>
    <tableColumn id="3" xr3:uid="{2A68DCE7-AB25-40C1-A02C-BC00F1CA73D5}" name="Base" dataDxfId="40"/>
    <tableColumn id="4" xr3:uid="{966FE2E7-0CE5-442A-AB12-1D6CB57E4428}" name="Optimistic" dataDxfId="39"/>
    <tableColumn id="5" xr3:uid="{88651410-8C2B-4D1C-8606-6F15A19C0928}" name="Stress" dataDxfId="3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EC5A4B-85B7-499E-88D7-B85BB91B900C}" name="tblScenarios" displayName="tblScenarios" ref="A4:B7" totalsRowShown="0" headerRowDxfId="37" dataDxfId="36">
  <autoFilter ref="A4:B7" xr:uid="{B8EC5A4B-85B7-499E-88D7-B85BB91B900C}"/>
  <tableColumns count="2">
    <tableColumn id="1" xr3:uid="{9A598733-0B53-4A0E-A2C5-F9A58752DAAC}" name="ScenarioName" dataDxfId="35"/>
    <tableColumn id="2" xr3:uid="{3F00F027-E7BF-448B-AD1C-63A5AEDB5252}" name="ScenarioKey" dataDxfId="3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007EFB-A932-4855-9F17-8A29AE30A239}" name="tblForecast" displayName="tblForecast" ref="A4:K40" totalsRowShown="0" headerRowDxfId="33" dataDxfId="32">
  <autoFilter ref="A4:K40" xr:uid="{89007EFB-A932-4855-9F17-8A29AE30A239}"/>
  <tableColumns count="11">
    <tableColumn id="1" xr3:uid="{DBE68826-F8F6-4FDD-B161-8C3171900FE2}" name="Month" dataDxfId="31"/>
    <tableColumn id="2" xr3:uid="{E47E2C8C-99FB-4471-8C90-56D3E9154BC7}" name="Scenario" dataDxfId="30"/>
    <tableColumn id="3" xr3:uid="{558A58BF-4939-4230-9873-477AD3CCD89B}" name="Volume" dataDxfId="29">
      <calculatedColumnFormula>C4*(1+INDEX(tblAssumptions[[Base]:[Stress]],MATCH("Volume growth % (monthly)",tblAssumptions[Driver],0),MATCH($B5,{"Base","Opt","Stress"},0)))</calculatedColumnFormula>
    </tableColumn>
    <tableColumn id="4" xr3:uid="{23C5F68F-2739-4520-A14B-A1DC68A75962}" name="Price" dataDxfId="28">
      <calculatedColumnFormula>D4*(1+INDEX(tblAssumptions[[Base]:[Stress]],MATCH("Price change % (monthly)",tblAssumptions[Driver],0),MATCH($B5,{"Base","Opt","Stress"},0)))</calculatedColumnFormula>
    </tableColumn>
    <tableColumn id="5" xr3:uid="{685CE64E-8EDF-42EA-955F-9ED34CF24AA4}" name="Revenue" dataDxfId="27">
      <calculatedColumnFormula>C5*D5</calculatedColumnFormula>
    </tableColumn>
    <tableColumn id="6" xr3:uid="{DC3E413D-3EB8-410B-A836-739A8D112316}" name="COGS" dataDxfId="26">
      <calculatedColumnFormula>E5*INDEX(tblAssumptions[[Base]:[Stress]],MATCH("COGS % of Revenue",tblAssumptions[Driver],0),MATCH($B5,{"Base","Opt","Stress"},0))</calculatedColumnFormula>
    </tableColumn>
    <tableColumn id="7" xr3:uid="{9BE62587-4C8A-4C58-8FDB-D21A9275D1A9}" name="OpEx" dataDxfId="25">
      <calculatedColumnFormula>G4*(1+INDEX(tblAssumptions[[Base]:[Stress]],MATCH("OpEx monthly change %",tblAssumptions[Driver],0),MATCH($B5,{"Base","Opt","Stress"},0)))</calculatedColumnFormula>
    </tableColumn>
    <tableColumn id="8" xr3:uid="{492BEDBE-3491-40A5-ABDE-6E08ACD02C91}" name="Gross Profit" dataDxfId="24">
      <calculatedColumnFormula>E5-F5-G5</calculatedColumnFormula>
    </tableColumn>
    <tableColumn id="9" xr3:uid="{A4CF4D59-6BAF-4B0A-8524-73D9A42B71E4}" name="Gross Margin" dataDxfId="23">
      <calculatedColumnFormula>H5/E5</calculatedColumnFormula>
    </tableColumn>
    <tableColumn id="10" xr3:uid="{16397605-6175-45C5-86E3-AED34155F5FE}" name="Net Cash Flow" dataDxfId="22">
      <calculatedColumnFormula>H5</calculatedColumnFormula>
    </tableColumn>
    <tableColumn id="11" xr3:uid="{44B297E3-BCD4-4F79-9A03-BA3FE8880B88}" name="Discounted CF" dataDxfId="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43DAED2-1727-4408-BF1C-57667C8515E5}" name="tblVariance" displayName="tblVariance" ref="A4:K11" totalsRowShown="0" headerRowDxfId="20" dataDxfId="19">
  <autoFilter ref="A4:K11" xr:uid="{343DAED2-1727-4408-BF1C-57667C8515E5}"/>
  <tableColumns count="11">
    <tableColumn id="1" xr3:uid="{38F29801-F575-4DF3-8513-944071C4662E}" name="Month" dataDxfId="18">
      <calculatedColumnFormula array="1">INDEX(tblActuals[Month],ROW()-3)</calculatedColumnFormula>
    </tableColumn>
    <tableColumn id="2" xr3:uid="{C953774E-A888-418C-A2A2-E80322B910CA}" name="Actual Revenue" dataDxfId="17"/>
    <tableColumn id="3" xr3:uid="{5CE5C94A-4997-4AAC-B9E7-236A5DF40947}" name="Forecast Revenue" dataDxfId="16"/>
    <tableColumn id="4" xr3:uid="{3123A889-B36C-4BA1-AAFF-A60B6907A74B}" name="Variance" dataDxfId="15">
      <calculatedColumnFormula>B5-C5</calculatedColumnFormula>
    </tableColumn>
    <tableColumn id="5" xr3:uid="{FC45C948-2145-4179-93B7-EC263D5AAFD5}" name="Variance %" dataDxfId="14">
      <calculatedColumnFormula>D5/C5</calculatedColumnFormula>
    </tableColumn>
    <tableColumn id="6" xr3:uid="{97D7FEE3-720D-4CC1-96E6-D953731DAF68}" name="Actual GP" dataDxfId="13"/>
    <tableColumn id="7" xr3:uid="{F09D96E8-7F1F-41F6-B7B6-6895751230C8}" name="Forecast GP" dataDxfId="12"/>
    <tableColumn id="8" xr3:uid="{F82A1632-00F1-42F2-84C6-EDA4F86F4314}" name="Volume Contribution" dataDxfId="11"/>
    <tableColumn id="9" xr3:uid="{B237FD41-F549-4190-AE0E-38462706399E}" name="Price Contribution" dataDxfId="10"/>
    <tableColumn id="10" xr3:uid="{7AD8688D-DB8F-46A5-A979-4BB55ED96593}" name="COGS Contribution" dataDxfId="9"/>
    <tableColumn id="11" xr3:uid="{F15C3FC8-86E0-4896-A52E-E0FCD540085E}" name="OpEx Contribution" dataDxfId="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84DB32-9C65-4A3F-8FA9-1CFEE4B398D2}" name="tblSensitivity" displayName="tblSensitivity" ref="A4:F8" totalsRowShown="0" headerRowDxfId="7" dataDxfId="6">
  <autoFilter ref="A4:F8" xr:uid="{E184DB32-9C65-4A3F-8FA9-1CFEE4B398D2}"/>
  <tableColumns count="6">
    <tableColumn id="1" xr3:uid="{73045144-6BEB-42F8-8217-6140295211F4}" name="Driver" dataDxfId="5"/>
    <tableColumn id="2" xr3:uid="{D50A6CA4-3B14-4C10-A434-9E6A4727652B}" name="Base Value" dataDxfId="4"/>
    <tableColumn id="3" xr3:uid="{1DEFC1C2-58A0-425B-9C60-BD9B88312377}" name="Low Shock" dataDxfId="3"/>
    <tableColumn id="4" xr3:uid="{8333F804-3B18-41A4-8BF7-2EF21DC30C68}" name="High Shock" dataDxfId="2"/>
    <tableColumn id="5" xr3:uid="{B619D4D2-F64F-469A-913C-4474DF4364F7}" name="Impact Low" dataDxfId="1"/>
    <tableColumn id="6" xr3:uid="{F497E359-40F8-40FD-9B05-50C2F28075FF}" name="Impact Hig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369E-0E16-4EF9-A443-B16224E7F3D9}">
  <sheetPr>
    <tabColor theme="1"/>
  </sheetPr>
  <dimension ref="B1:I48"/>
  <sheetViews>
    <sheetView showGridLines="0" tabSelected="1" workbookViewId="0">
      <selection activeCell="T11" sqref="T11"/>
    </sheetView>
  </sheetViews>
  <sheetFormatPr defaultRowHeight="15" x14ac:dyDescent="0.25"/>
  <cols>
    <col min="2" max="2" width="8" customWidth="1"/>
    <col min="3" max="4" width="13.7109375" customWidth="1"/>
    <col min="5" max="6" width="15.5703125" customWidth="1"/>
    <col min="7" max="7" width="17.5703125" customWidth="1"/>
    <col min="8" max="9" width="18.28515625" customWidth="1"/>
  </cols>
  <sheetData>
    <row r="1" spans="2:9" ht="24" x14ac:dyDescent="0.25">
      <c r="B1" s="80" t="s">
        <v>99</v>
      </c>
      <c r="C1" s="80"/>
      <c r="D1" s="80"/>
      <c r="E1" s="80"/>
      <c r="F1" s="80"/>
      <c r="G1" s="80"/>
      <c r="H1" s="80"/>
      <c r="I1" s="80"/>
    </row>
    <row r="2" spans="2:9" x14ac:dyDescent="0.25">
      <c r="B2" s="81" t="s">
        <v>100</v>
      </c>
      <c r="C2" s="81"/>
      <c r="D2" s="81"/>
      <c r="E2" s="81"/>
      <c r="F2" s="81"/>
      <c r="G2" s="81"/>
      <c r="H2" s="81"/>
      <c r="I2" s="81"/>
    </row>
    <row r="3" spans="2:9" x14ac:dyDescent="0.25">
      <c r="B3" s="28"/>
      <c r="C3" s="28"/>
      <c r="D3" s="28"/>
      <c r="E3" s="28"/>
      <c r="F3" s="28"/>
      <c r="G3" s="28"/>
      <c r="H3" s="28"/>
      <c r="I3" s="28"/>
    </row>
    <row r="4" spans="2:9" x14ac:dyDescent="0.25">
      <c r="B4" s="71" t="s">
        <v>101</v>
      </c>
      <c r="C4" s="71"/>
      <c r="D4" s="71"/>
      <c r="E4" s="71"/>
      <c r="F4" s="71"/>
      <c r="G4" s="71"/>
      <c r="H4" s="71"/>
      <c r="I4" s="71"/>
    </row>
    <row r="5" spans="2:9" x14ac:dyDescent="0.25">
      <c r="B5" s="82" t="s">
        <v>102</v>
      </c>
      <c r="C5" s="82"/>
      <c r="D5" s="82"/>
      <c r="E5" s="82"/>
      <c r="F5" s="82"/>
      <c r="G5" s="82"/>
      <c r="H5" s="82"/>
      <c r="I5" s="82"/>
    </row>
    <row r="6" spans="2:9" x14ac:dyDescent="0.25">
      <c r="B6" s="82"/>
      <c r="C6" s="82"/>
      <c r="D6" s="82"/>
      <c r="E6" s="82"/>
      <c r="F6" s="82"/>
      <c r="G6" s="82"/>
      <c r="H6" s="82"/>
      <c r="I6" s="82"/>
    </row>
    <row r="7" spans="2:9" x14ac:dyDescent="0.25">
      <c r="B7" s="28"/>
      <c r="C7" s="28"/>
      <c r="D7" s="28"/>
      <c r="E7" s="28"/>
      <c r="F7" s="28"/>
      <c r="G7" s="28"/>
      <c r="H7" s="28"/>
      <c r="I7" s="28"/>
    </row>
    <row r="8" spans="2:9" x14ac:dyDescent="0.25">
      <c r="B8" s="71" t="s">
        <v>103</v>
      </c>
      <c r="C8" s="71"/>
      <c r="D8" s="71"/>
      <c r="E8" s="71"/>
      <c r="F8" s="71"/>
      <c r="G8" s="71"/>
      <c r="H8" s="71"/>
      <c r="I8" s="71"/>
    </row>
    <row r="9" spans="2:9" x14ac:dyDescent="0.25">
      <c r="B9" s="29" t="s">
        <v>104</v>
      </c>
      <c r="C9" s="79" t="s">
        <v>105</v>
      </c>
      <c r="D9" s="79"/>
      <c r="E9" s="79" t="s">
        <v>106</v>
      </c>
      <c r="F9" s="79"/>
      <c r="G9" s="79"/>
      <c r="H9" s="79" t="s">
        <v>107</v>
      </c>
      <c r="I9" s="79"/>
    </row>
    <row r="10" spans="2:9" x14ac:dyDescent="0.25">
      <c r="B10" s="30">
        <v>1</v>
      </c>
      <c r="C10" s="75" t="s">
        <v>5</v>
      </c>
      <c r="D10" s="69"/>
      <c r="E10" s="69" t="s">
        <v>108</v>
      </c>
      <c r="F10" s="69"/>
      <c r="G10" s="69"/>
      <c r="H10" s="69" t="s">
        <v>109</v>
      </c>
      <c r="I10" s="69"/>
    </row>
    <row r="11" spans="2:9" x14ac:dyDescent="0.25">
      <c r="B11" s="31">
        <v>2</v>
      </c>
      <c r="C11" s="77" t="s">
        <v>7</v>
      </c>
      <c r="D11" s="70"/>
      <c r="E11" s="70" t="s">
        <v>110</v>
      </c>
      <c r="F11" s="70"/>
      <c r="G11" s="70"/>
      <c r="H11" s="70" t="s">
        <v>111</v>
      </c>
      <c r="I11" s="70"/>
    </row>
    <row r="12" spans="2:9" x14ac:dyDescent="0.25">
      <c r="B12" s="30">
        <v>3</v>
      </c>
      <c r="C12" s="75" t="s">
        <v>9</v>
      </c>
      <c r="D12" s="69"/>
      <c r="E12" s="69" t="s">
        <v>112</v>
      </c>
      <c r="F12" s="69"/>
      <c r="G12" s="69"/>
      <c r="H12" s="69" t="s">
        <v>113</v>
      </c>
      <c r="I12" s="69"/>
    </row>
    <row r="13" spans="2:9" x14ac:dyDescent="0.25">
      <c r="B13" s="31">
        <v>4</v>
      </c>
      <c r="C13" s="77" t="s">
        <v>11</v>
      </c>
      <c r="D13" s="70"/>
      <c r="E13" s="70" t="s">
        <v>114</v>
      </c>
      <c r="F13" s="70"/>
      <c r="G13" s="70"/>
      <c r="H13" s="70" t="s">
        <v>115</v>
      </c>
      <c r="I13" s="70"/>
    </row>
    <row r="14" spans="2:9" x14ac:dyDescent="0.25">
      <c r="B14" s="30">
        <v>5</v>
      </c>
      <c r="C14" s="75" t="s">
        <v>13</v>
      </c>
      <c r="D14" s="69"/>
      <c r="E14" s="69" t="s">
        <v>116</v>
      </c>
      <c r="F14" s="69"/>
      <c r="G14" s="69"/>
      <c r="H14" s="69" t="s">
        <v>117</v>
      </c>
      <c r="I14" s="69"/>
    </row>
    <row r="15" spans="2:9" x14ac:dyDescent="0.25">
      <c r="B15" s="31">
        <v>6</v>
      </c>
      <c r="C15" s="77" t="s">
        <v>15</v>
      </c>
      <c r="D15" s="77"/>
      <c r="E15" s="70" t="s">
        <v>118</v>
      </c>
      <c r="F15" s="70"/>
      <c r="G15" s="70"/>
      <c r="H15" s="70" t="s">
        <v>119</v>
      </c>
      <c r="I15" s="70"/>
    </row>
    <row r="16" spans="2:9" x14ac:dyDescent="0.25">
      <c r="B16" s="30">
        <v>7</v>
      </c>
      <c r="C16" s="75" t="s">
        <v>17</v>
      </c>
      <c r="D16" s="75"/>
      <c r="E16" s="69" t="s">
        <v>120</v>
      </c>
      <c r="F16" s="69"/>
      <c r="G16" s="69"/>
      <c r="H16" s="69" t="s">
        <v>121</v>
      </c>
      <c r="I16" s="69"/>
    </row>
    <row r="17" spans="2:9" x14ac:dyDescent="0.25">
      <c r="B17" s="31">
        <v>8</v>
      </c>
      <c r="C17" s="77" t="s">
        <v>3</v>
      </c>
      <c r="D17" s="77"/>
      <c r="E17" s="70" t="s">
        <v>122</v>
      </c>
      <c r="F17" s="70"/>
      <c r="G17" s="70"/>
      <c r="H17" s="70" t="s">
        <v>123</v>
      </c>
      <c r="I17" s="70"/>
    </row>
    <row r="18" spans="2:9" x14ac:dyDescent="0.25">
      <c r="B18" s="28"/>
      <c r="C18" s="28"/>
      <c r="D18" s="28"/>
      <c r="E18" s="28"/>
      <c r="F18" s="28"/>
      <c r="G18" s="28"/>
      <c r="H18" s="28"/>
      <c r="I18" s="28"/>
    </row>
    <row r="19" spans="2:9" x14ac:dyDescent="0.25">
      <c r="B19" s="71" t="s">
        <v>124</v>
      </c>
      <c r="C19" s="71"/>
      <c r="D19" s="71"/>
      <c r="E19" s="71"/>
      <c r="F19" s="71"/>
      <c r="G19" s="71"/>
      <c r="H19" s="71"/>
      <c r="I19" s="71"/>
    </row>
    <row r="20" spans="2:9" x14ac:dyDescent="0.25">
      <c r="B20" s="79" t="s">
        <v>46</v>
      </c>
      <c r="C20" s="79"/>
      <c r="D20" s="79"/>
      <c r="E20" s="79" t="s">
        <v>125</v>
      </c>
      <c r="F20" s="79"/>
      <c r="G20" s="79" t="s">
        <v>126</v>
      </c>
      <c r="H20" s="79"/>
      <c r="I20" s="79"/>
    </row>
    <row r="21" spans="2:9" x14ac:dyDescent="0.25">
      <c r="B21" s="75" t="s">
        <v>127</v>
      </c>
      <c r="C21" s="69"/>
      <c r="D21" s="69"/>
      <c r="E21" s="76" t="s">
        <v>128</v>
      </c>
      <c r="F21" s="69"/>
      <c r="G21" s="69" t="s">
        <v>129</v>
      </c>
      <c r="H21" s="69"/>
      <c r="I21" s="69"/>
    </row>
    <row r="22" spans="2:9" x14ac:dyDescent="0.25">
      <c r="B22" s="77" t="s">
        <v>130</v>
      </c>
      <c r="C22" s="70"/>
      <c r="D22" s="70"/>
      <c r="E22" s="78" t="s">
        <v>131</v>
      </c>
      <c r="F22" s="70"/>
      <c r="G22" s="70" t="s">
        <v>132</v>
      </c>
      <c r="H22" s="70"/>
      <c r="I22" s="70"/>
    </row>
    <row r="23" spans="2:9" x14ac:dyDescent="0.25">
      <c r="B23" s="75" t="s">
        <v>133</v>
      </c>
      <c r="C23" s="69"/>
      <c r="D23" s="69"/>
      <c r="E23" s="76" t="s">
        <v>134</v>
      </c>
      <c r="F23" s="69"/>
      <c r="G23" s="69" t="s">
        <v>135</v>
      </c>
      <c r="H23" s="69"/>
      <c r="I23" s="69"/>
    </row>
    <row r="24" spans="2:9" x14ac:dyDescent="0.25">
      <c r="B24" s="77" t="s">
        <v>62</v>
      </c>
      <c r="C24" s="70"/>
      <c r="D24" s="70"/>
      <c r="E24" s="78" t="s">
        <v>136</v>
      </c>
      <c r="F24" s="70"/>
      <c r="G24" s="70" t="s">
        <v>137</v>
      </c>
      <c r="H24" s="70"/>
      <c r="I24" s="70"/>
    </row>
    <row r="25" spans="2:9" x14ac:dyDescent="0.25">
      <c r="B25" s="75" t="s">
        <v>63</v>
      </c>
      <c r="C25" s="69"/>
      <c r="D25" s="69"/>
      <c r="E25" s="76" t="s">
        <v>138</v>
      </c>
      <c r="F25" s="69"/>
      <c r="G25" s="69" t="s">
        <v>139</v>
      </c>
      <c r="H25" s="69"/>
      <c r="I25" s="69"/>
    </row>
    <row r="26" spans="2:9" x14ac:dyDescent="0.25">
      <c r="B26" s="77" t="s">
        <v>140</v>
      </c>
      <c r="C26" s="77"/>
      <c r="D26" s="77"/>
      <c r="E26" s="78" t="s">
        <v>141</v>
      </c>
      <c r="F26" s="78"/>
      <c r="G26" s="70" t="s">
        <v>142</v>
      </c>
      <c r="H26" s="70"/>
      <c r="I26" s="70"/>
    </row>
    <row r="27" spans="2:9" x14ac:dyDescent="0.25">
      <c r="B27" s="28"/>
      <c r="C27" s="28"/>
      <c r="D27" s="28"/>
      <c r="E27" s="28"/>
      <c r="F27" s="28"/>
      <c r="G27" s="28"/>
      <c r="H27" s="28"/>
      <c r="I27" s="28"/>
    </row>
    <row r="28" spans="2:9" x14ac:dyDescent="0.25">
      <c r="B28" s="71" t="s">
        <v>143</v>
      </c>
      <c r="C28" s="71"/>
      <c r="D28" s="71"/>
      <c r="E28" s="71"/>
      <c r="F28" s="71"/>
      <c r="G28" s="71"/>
      <c r="H28" s="71"/>
      <c r="I28" s="71"/>
    </row>
    <row r="29" spans="2:9" x14ac:dyDescent="0.25">
      <c r="B29" s="79" t="s">
        <v>144</v>
      </c>
      <c r="C29" s="79"/>
      <c r="D29" s="79" t="s">
        <v>145</v>
      </c>
      <c r="E29" s="79"/>
      <c r="F29" s="79" t="s">
        <v>146</v>
      </c>
      <c r="G29" s="79"/>
      <c r="H29" s="79"/>
      <c r="I29" s="79"/>
    </row>
    <row r="30" spans="2:9" x14ac:dyDescent="0.25">
      <c r="B30" s="75" t="s">
        <v>147</v>
      </c>
      <c r="C30" s="69"/>
      <c r="D30" s="76" t="s">
        <v>148</v>
      </c>
      <c r="E30" s="69"/>
      <c r="F30" s="69" t="s">
        <v>149</v>
      </c>
      <c r="G30" s="69"/>
      <c r="H30" s="69"/>
      <c r="I30" s="69"/>
    </row>
    <row r="31" spans="2:9" x14ac:dyDescent="0.25">
      <c r="B31" s="77" t="s">
        <v>150</v>
      </c>
      <c r="C31" s="70"/>
      <c r="D31" s="78" t="s">
        <v>151</v>
      </c>
      <c r="E31" s="70"/>
      <c r="F31" s="70" t="s">
        <v>152</v>
      </c>
      <c r="G31" s="70"/>
      <c r="H31" s="70"/>
      <c r="I31" s="70"/>
    </row>
    <row r="32" spans="2:9" x14ac:dyDescent="0.25">
      <c r="B32" s="75" t="s">
        <v>153</v>
      </c>
      <c r="C32" s="69"/>
      <c r="D32" s="76" t="s">
        <v>154</v>
      </c>
      <c r="E32" s="69"/>
      <c r="F32" s="69" t="s">
        <v>155</v>
      </c>
      <c r="G32" s="69"/>
      <c r="H32" s="69"/>
      <c r="I32" s="69"/>
    </row>
    <row r="33" spans="2:9" x14ac:dyDescent="0.25">
      <c r="B33" s="77" t="s">
        <v>156</v>
      </c>
      <c r="C33" s="70"/>
      <c r="D33" s="78" t="s">
        <v>157</v>
      </c>
      <c r="E33" s="70"/>
      <c r="F33" s="70" t="s">
        <v>158</v>
      </c>
      <c r="G33" s="70"/>
      <c r="H33" s="70"/>
      <c r="I33" s="70"/>
    </row>
    <row r="34" spans="2:9" x14ac:dyDescent="0.25">
      <c r="B34" s="75" t="s">
        <v>159</v>
      </c>
      <c r="C34" s="69"/>
      <c r="D34" s="76" t="s">
        <v>160</v>
      </c>
      <c r="E34" s="69"/>
      <c r="F34" s="69" t="s">
        <v>161</v>
      </c>
      <c r="G34" s="69"/>
      <c r="H34" s="69"/>
      <c r="I34" s="69"/>
    </row>
    <row r="35" spans="2:9" x14ac:dyDescent="0.25">
      <c r="B35" s="77" t="s">
        <v>162</v>
      </c>
      <c r="C35" s="77"/>
      <c r="D35" s="78" t="s">
        <v>163</v>
      </c>
      <c r="E35" s="78"/>
      <c r="F35" s="70" t="s">
        <v>164</v>
      </c>
      <c r="G35" s="70"/>
      <c r="H35" s="70"/>
      <c r="I35" s="70"/>
    </row>
    <row r="36" spans="2:9" x14ac:dyDescent="0.25">
      <c r="B36" s="28"/>
      <c r="C36" s="28"/>
      <c r="D36" s="28"/>
      <c r="E36" s="28"/>
      <c r="F36" s="28"/>
      <c r="G36" s="28"/>
      <c r="H36" s="28"/>
      <c r="I36" s="28"/>
    </row>
    <row r="37" spans="2:9" x14ac:dyDescent="0.25">
      <c r="B37" s="71" t="s">
        <v>165</v>
      </c>
      <c r="C37" s="71"/>
      <c r="D37" s="71"/>
      <c r="E37" s="71"/>
      <c r="F37" s="71"/>
      <c r="G37" s="71"/>
      <c r="H37" s="71"/>
      <c r="I37" s="71"/>
    </row>
    <row r="38" spans="2:9" x14ac:dyDescent="0.25">
      <c r="B38" s="72" t="s">
        <v>166</v>
      </c>
      <c r="C38" s="72"/>
      <c r="D38" s="72"/>
      <c r="E38" s="72"/>
      <c r="F38" s="72"/>
      <c r="G38" s="72"/>
      <c r="H38" s="72"/>
      <c r="I38" s="72"/>
    </row>
    <row r="39" spans="2:9" x14ac:dyDescent="0.25">
      <c r="B39" s="72" t="s">
        <v>167</v>
      </c>
      <c r="C39" s="72"/>
      <c r="D39" s="72"/>
      <c r="E39" s="72"/>
      <c r="F39" s="72"/>
      <c r="G39" s="72"/>
      <c r="H39" s="72"/>
      <c r="I39" s="72"/>
    </row>
    <row r="40" spans="2:9" x14ac:dyDescent="0.25">
      <c r="B40" s="73" t="s">
        <v>168</v>
      </c>
      <c r="C40" s="73"/>
      <c r="D40" s="73"/>
      <c r="E40" s="73"/>
      <c r="F40" s="73"/>
      <c r="G40" s="73"/>
      <c r="H40" s="73"/>
      <c r="I40" s="73"/>
    </row>
    <row r="41" spans="2:9" x14ac:dyDescent="0.25">
      <c r="B41" s="72" t="s">
        <v>169</v>
      </c>
      <c r="C41" s="72"/>
      <c r="D41" s="72"/>
      <c r="E41" s="72"/>
      <c r="F41" s="72"/>
      <c r="G41" s="72"/>
      <c r="H41" s="72"/>
      <c r="I41" s="72"/>
    </row>
    <row r="42" spans="2:9" x14ac:dyDescent="0.25">
      <c r="B42" s="28"/>
      <c r="C42" s="28"/>
      <c r="D42" s="28"/>
      <c r="E42" s="28"/>
      <c r="F42" s="28"/>
      <c r="G42" s="28"/>
      <c r="H42" s="28"/>
      <c r="I42" s="28"/>
    </row>
    <row r="43" spans="2:9" x14ac:dyDescent="0.25">
      <c r="B43" s="74" t="s">
        <v>170</v>
      </c>
      <c r="C43" s="74"/>
      <c r="D43" s="74"/>
      <c r="E43" s="74"/>
      <c r="F43" s="74"/>
      <c r="G43" s="74"/>
      <c r="H43" s="74"/>
      <c r="I43" s="74"/>
    </row>
    <row r="44" spans="2:9" x14ac:dyDescent="0.25">
      <c r="B44" s="69" t="s">
        <v>171</v>
      </c>
      <c r="C44" s="69"/>
      <c r="D44" s="69"/>
      <c r="E44" s="69"/>
      <c r="F44" s="69"/>
      <c r="G44" s="69"/>
      <c r="H44" s="69"/>
      <c r="I44" s="69"/>
    </row>
    <row r="45" spans="2:9" x14ac:dyDescent="0.25">
      <c r="B45" s="70" t="s">
        <v>172</v>
      </c>
      <c r="C45" s="70"/>
      <c r="D45" s="70"/>
      <c r="E45" s="70"/>
      <c r="F45" s="70"/>
      <c r="G45" s="70"/>
      <c r="H45" s="70"/>
      <c r="I45" s="70"/>
    </row>
    <row r="46" spans="2:9" x14ac:dyDescent="0.25">
      <c r="B46" s="69" t="s">
        <v>173</v>
      </c>
      <c r="C46" s="69"/>
      <c r="D46" s="69"/>
      <c r="E46" s="69"/>
      <c r="F46" s="69"/>
      <c r="G46" s="69"/>
      <c r="H46" s="69"/>
      <c r="I46" s="69"/>
    </row>
    <row r="47" spans="2:9" x14ac:dyDescent="0.25">
      <c r="B47" s="70" t="s">
        <v>174</v>
      </c>
      <c r="C47" s="70"/>
      <c r="D47" s="70"/>
      <c r="E47" s="70"/>
      <c r="F47" s="70"/>
      <c r="G47" s="70"/>
      <c r="H47" s="70"/>
      <c r="I47" s="70"/>
    </row>
    <row r="48" spans="2:9" x14ac:dyDescent="0.25">
      <c r="B48" s="69" t="s">
        <v>175</v>
      </c>
      <c r="C48" s="69"/>
      <c r="D48" s="69"/>
      <c r="E48" s="69"/>
      <c r="F48" s="69"/>
      <c r="G48" s="69"/>
      <c r="H48" s="69"/>
      <c r="I48" s="69"/>
    </row>
  </sheetData>
  <mergeCells count="87">
    <mergeCell ref="C9:D9"/>
    <mergeCell ref="E9:G9"/>
    <mergeCell ref="H9:I9"/>
    <mergeCell ref="B1:I1"/>
    <mergeCell ref="B2:I2"/>
    <mergeCell ref="B4:I4"/>
    <mergeCell ref="B5:I6"/>
    <mergeCell ref="B8:I8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D15"/>
    <mergeCell ref="E15:G15"/>
    <mergeCell ref="H15:I15"/>
    <mergeCell ref="C16:D16"/>
    <mergeCell ref="E16:G16"/>
    <mergeCell ref="H16:I16"/>
    <mergeCell ref="C17:D17"/>
    <mergeCell ref="E17:G17"/>
    <mergeCell ref="H17:I17"/>
    <mergeCell ref="B19:I19"/>
    <mergeCell ref="B20:D20"/>
    <mergeCell ref="E20:F20"/>
    <mergeCell ref="G20:I20"/>
    <mergeCell ref="B21:D21"/>
    <mergeCell ref="E21:F21"/>
    <mergeCell ref="G21:I21"/>
    <mergeCell ref="B22:D22"/>
    <mergeCell ref="E22:F22"/>
    <mergeCell ref="G22:I22"/>
    <mergeCell ref="B23:D23"/>
    <mergeCell ref="E23:F23"/>
    <mergeCell ref="G23:I23"/>
    <mergeCell ref="B24:D24"/>
    <mergeCell ref="E24:F24"/>
    <mergeCell ref="G24:I24"/>
    <mergeCell ref="B25:D25"/>
    <mergeCell ref="E25:F25"/>
    <mergeCell ref="G25:I25"/>
    <mergeCell ref="B26:D26"/>
    <mergeCell ref="E26:F26"/>
    <mergeCell ref="G26:I26"/>
    <mergeCell ref="B28:I28"/>
    <mergeCell ref="B29:C29"/>
    <mergeCell ref="D29:E29"/>
    <mergeCell ref="F29:I29"/>
    <mergeCell ref="B30:C30"/>
    <mergeCell ref="D30:E30"/>
    <mergeCell ref="F30:I30"/>
    <mergeCell ref="B31:C31"/>
    <mergeCell ref="D31:E31"/>
    <mergeCell ref="F31:I31"/>
    <mergeCell ref="B32:C32"/>
    <mergeCell ref="D32:E32"/>
    <mergeCell ref="F32:I32"/>
    <mergeCell ref="B33:C33"/>
    <mergeCell ref="D33:E33"/>
    <mergeCell ref="F33:I33"/>
    <mergeCell ref="B43:I43"/>
    <mergeCell ref="B34:C34"/>
    <mergeCell ref="D34:E34"/>
    <mergeCell ref="F34:I34"/>
    <mergeCell ref="B35:C35"/>
    <mergeCell ref="D35:E35"/>
    <mergeCell ref="F35:I35"/>
    <mergeCell ref="B37:I37"/>
    <mergeCell ref="B38:I38"/>
    <mergeCell ref="B39:I39"/>
    <mergeCell ref="B40:I40"/>
    <mergeCell ref="B41:I41"/>
    <mergeCell ref="B44:I44"/>
    <mergeCell ref="B45:I45"/>
    <mergeCell ref="B46:I46"/>
    <mergeCell ref="B47:I47"/>
    <mergeCell ref="B48:I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AC3E6-D496-47AE-87A9-647D279A9892}">
  <sheetPr>
    <tabColor theme="0"/>
  </sheetPr>
  <dimension ref="A1:Z54"/>
  <sheetViews>
    <sheetView workbookViewId="0">
      <selection activeCell="T49" sqref="T49"/>
    </sheetView>
  </sheetViews>
  <sheetFormatPr defaultRowHeight="15" x14ac:dyDescent="0.25"/>
  <cols>
    <col min="2" max="3" width="38.140625" customWidth="1"/>
    <col min="4" max="9" width="5.7109375" customWidth="1"/>
  </cols>
  <sheetData>
    <row r="1" spans="1:26" ht="50.1" customHeight="1" x14ac:dyDescent="0.4">
      <c r="A1" s="2"/>
      <c r="B1" s="64" t="s">
        <v>0</v>
      </c>
      <c r="C1" s="64"/>
      <c r="D1" s="64"/>
      <c r="E1" s="64"/>
      <c r="F1" s="64"/>
      <c r="G1" s="64"/>
      <c r="H1" s="64"/>
      <c r="I1" s="6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33" t="s">
        <v>1</v>
      </c>
      <c r="C2" s="33"/>
      <c r="D2" s="33"/>
      <c r="E2" s="33"/>
      <c r="F2" s="33"/>
      <c r="G2" s="33"/>
      <c r="H2" s="33"/>
      <c r="I2" s="3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58" t="s">
        <v>2</v>
      </c>
      <c r="C4" s="59"/>
      <c r="D4" s="59"/>
      <c r="E4" s="59"/>
      <c r="F4" s="59"/>
      <c r="G4" s="59"/>
      <c r="H4" s="59"/>
      <c r="I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61"/>
      <c r="C5" s="62"/>
      <c r="D5" s="62"/>
      <c r="E5" s="62"/>
      <c r="F5" s="62"/>
      <c r="G5" s="62"/>
      <c r="H5" s="62"/>
      <c r="I5" s="6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"/>
      <c r="B6" s="25" t="s">
        <v>3</v>
      </c>
      <c r="C6" s="56" t="s">
        <v>4</v>
      </c>
      <c r="D6" s="56"/>
      <c r="E6" s="56"/>
      <c r="F6" s="56"/>
      <c r="G6" s="56"/>
      <c r="H6" s="56"/>
      <c r="I6" s="5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5" t="s">
        <v>5</v>
      </c>
      <c r="C7" s="56" t="s">
        <v>6</v>
      </c>
      <c r="D7" s="56"/>
      <c r="E7" s="56"/>
      <c r="F7" s="56"/>
      <c r="G7" s="56"/>
      <c r="H7" s="56"/>
      <c r="I7" s="5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5" t="s">
        <v>7</v>
      </c>
      <c r="C8" s="56" t="s">
        <v>8</v>
      </c>
      <c r="D8" s="56"/>
      <c r="E8" s="56"/>
      <c r="F8" s="56"/>
      <c r="G8" s="56"/>
      <c r="H8" s="56"/>
      <c r="I8" s="5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6" t="s">
        <v>9</v>
      </c>
      <c r="C9" s="65" t="s">
        <v>10</v>
      </c>
      <c r="D9" s="65"/>
      <c r="E9" s="65"/>
      <c r="F9" s="65"/>
      <c r="G9" s="65"/>
      <c r="H9" s="65"/>
      <c r="I9" s="6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7" t="s">
        <v>11</v>
      </c>
      <c r="C10" s="67" t="s">
        <v>12</v>
      </c>
      <c r="D10" s="67"/>
      <c r="E10" s="67"/>
      <c r="F10" s="67"/>
      <c r="G10" s="67"/>
      <c r="H10" s="67"/>
      <c r="I10" s="6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7" t="s">
        <v>13</v>
      </c>
      <c r="C11" s="67" t="s">
        <v>14</v>
      </c>
      <c r="D11" s="67"/>
      <c r="E11" s="67"/>
      <c r="F11" s="67"/>
      <c r="G11" s="67"/>
      <c r="H11" s="67"/>
      <c r="I11" s="6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7" t="s">
        <v>15</v>
      </c>
      <c r="C12" s="67" t="s">
        <v>16</v>
      </c>
      <c r="D12" s="67"/>
      <c r="E12" s="67"/>
      <c r="F12" s="67"/>
      <c r="G12" s="67"/>
      <c r="H12" s="67"/>
      <c r="I12" s="6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7" t="s">
        <v>17</v>
      </c>
      <c r="C13" s="67" t="s">
        <v>18</v>
      </c>
      <c r="D13" s="67"/>
      <c r="E13" s="67"/>
      <c r="F13" s="67"/>
      <c r="G13" s="67"/>
      <c r="H13" s="67"/>
      <c r="I13" s="6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</sheetData>
  <sheetProtection sheet="1" objects="1" scenarios="1"/>
  <mergeCells count="11">
    <mergeCell ref="C9:I9"/>
    <mergeCell ref="C10:I10"/>
    <mergeCell ref="C11:I11"/>
    <mergeCell ref="C12:I12"/>
    <mergeCell ref="C13:I13"/>
    <mergeCell ref="C8:I8"/>
    <mergeCell ref="B4:I5"/>
    <mergeCell ref="B1:I1"/>
    <mergeCell ref="B2:I2"/>
    <mergeCell ref="C6:I6"/>
    <mergeCell ref="C7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9D12-28B2-4E42-AFA0-34FD1F5CCA95}">
  <sheetPr>
    <tabColor theme="0"/>
  </sheetPr>
  <dimension ref="A1:Z69"/>
  <sheetViews>
    <sheetView workbookViewId="0">
      <selection activeCell="T49" sqref="T49"/>
    </sheetView>
  </sheetViews>
  <sheetFormatPr defaultRowHeight="15" x14ac:dyDescent="0.25"/>
  <cols>
    <col min="2" max="2" width="23.5703125" bestFit="1" customWidth="1"/>
    <col min="3" max="14" width="11.42578125" customWidth="1"/>
  </cols>
  <sheetData>
    <row r="1" spans="1:26" ht="32.1" customHeight="1" x14ac:dyDescent="0.25">
      <c r="A1" s="2"/>
      <c r="B1" s="45" t="s">
        <v>56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33" t="s">
        <v>57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9" t="s">
        <v>98</v>
      </c>
      <c r="C4" s="15" t="s">
        <v>31</v>
      </c>
      <c r="D4" s="2"/>
      <c r="E4" s="34" t="s">
        <v>64</v>
      </c>
      <c r="F4" s="35"/>
      <c r="G4" s="36"/>
      <c r="H4" s="34" t="s">
        <v>65</v>
      </c>
      <c r="I4" s="35"/>
      <c r="J4" s="37"/>
      <c r="K4" s="34" t="s">
        <v>66</v>
      </c>
      <c r="L4" s="35"/>
      <c r="M4" s="35"/>
      <c r="N4" s="35"/>
      <c r="O4" s="36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46">
        <f>SUM(Admin!O5:O16)</f>
        <v>2012400.202408656</v>
      </c>
      <c r="F5" s="47"/>
      <c r="G5" s="48"/>
      <c r="H5" s="46">
        <f>SUM(Admin!P5:P16)</f>
        <v>860317.39627179014</v>
      </c>
      <c r="I5" s="47"/>
      <c r="J5" s="48"/>
      <c r="K5" s="55">
        <f>H5/E5</f>
        <v>0.42750810462157091</v>
      </c>
      <c r="L5" s="48"/>
      <c r="M5" s="38" cm="1">
        <f t="array" ref="M5">SUMPRODUCT(Admin!P5:P16/(1+DiscountRate)^(_xlfn.SEQUENCE(12)/12))</f>
        <v>815660.81919398403</v>
      </c>
      <c r="N5" s="38"/>
      <c r="O5" s="39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"/>
      <c r="B6" s="10" t="s">
        <v>58</v>
      </c>
      <c r="C6" s="11" t="s">
        <v>59</v>
      </c>
      <c r="D6" s="2"/>
      <c r="E6" s="49"/>
      <c r="F6" s="50"/>
      <c r="G6" s="51"/>
      <c r="H6" s="49"/>
      <c r="I6" s="50"/>
      <c r="J6" s="51"/>
      <c r="K6" s="49"/>
      <c r="L6" s="51"/>
      <c r="M6" s="40"/>
      <c r="N6" s="40"/>
      <c r="O6" s="41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2"/>
      <c r="B7" s="13" t="s">
        <v>60</v>
      </c>
      <c r="C7" s="14">
        <v>1</v>
      </c>
      <c r="D7" s="2"/>
      <c r="E7" s="52"/>
      <c r="F7" s="53"/>
      <c r="G7" s="54"/>
      <c r="H7" s="52"/>
      <c r="I7" s="53"/>
      <c r="J7" s="54"/>
      <c r="K7" s="52"/>
      <c r="L7" s="54"/>
      <c r="M7" s="42"/>
      <c r="N7" s="42"/>
      <c r="O7" s="43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13" t="s">
        <v>61</v>
      </c>
      <c r="C8" s="1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13" t="s">
        <v>62</v>
      </c>
      <c r="C9" s="1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12" t="s">
        <v>63</v>
      </c>
      <c r="C10" s="8">
        <v>0.1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44" t="s">
        <v>67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2" customHeight="1" x14ac:dyDescent="0.25">
      <c r="A13" s="2"/>
      <c r="B13" s="32" t="str">
        <f>"The "&amp;C4&amp;" scenario produces "&amp;TEXT(E5,"$#,##0")&amp;" of revenue and "&amp;TEXT(H5,"$#,##0")&amp;" of gross profit over 12 months. Gross margin is "&amp;TEXT(K5,"0.0%")&amp;"; sensitivity and backtest charts below show the main planning risks."</f>
        <v>The Base scenario produces $2,012,400 of revenue and $860,317 of gross profit over 12 months. Gross margin is 42.8%; sensitivity and backtest charts below show the main planning risks.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</sheetData>
  <sheetProtection sheet="1" objects="1" scenarios="1"/>
  <mergeCells count="11">
    <mergeCell ref="B1:O1"/>
    <mergeCell ref="K4:O4"/>
    <mergeCell ref="E5:G7"/>
    <mergeCell ref="H5:J7"/>
    <mergeCell ref="K5:L7"/>
    <mergeCell ref="B13:N13"/>
    <mergeCell ref="B2:N2"/>
    <mergeCell ref="E4:G4"/>
    <mergeCell ref="H4:J4"/>
    <mergeCell ref="M5:O7"/>
    <mergeCell ref="B12:N12"/>
  </mergeCells>
  <dataValidations count="3">
    <dataValidation type="list" allowBlank="1" showInputMessage="1" showErrorMessage="1" sqref="C4" xr:uid="{CFC91A78-EAB1-4BD4-A7C1-103CD19912CA}">
      <formula1>"Base,Opt,Stress"</formula1>
    </dataValidation>
    <dataValidation type="decimal" allowBlank="1" showInputMessage="1" showErrorMessage="1" sqref="C7:C9" xr:uid="{E0BC30CA-5304-46F2-A57F-90840F7C219B}">
      <formula1>0.5</formula1>
      <formula2>1.5</formula2>
    </dataValidation>
    <dataValidation type="decimal" allowBlank="1" showInputMessage="1" showErrorMessage="1" sqref="C10" xr:uid="{BC9AB0BB-BB01-4A7F-AE01-98FA15D03C94}">
      <formula1>0</formula1>
      <formula2>0.3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AD13-B987-46D2-93BF-1465822D820E}">
  <sheetPr>
    <tabColor rgb="FFC00000"/>
  </sheetPr>
  <dimension ref="A1:Y54"/>
  <sheetViews>
    <sheetView workbookViewId="0">
      <selection activeCell="T49" sqref="T49"/>
    </sheetView>
  </sheetViews>
  <sheetFormatPr defaultRowHeight="15" x14ac:dyDescent="0.25"/>
  <cols>
    <col min="1" max="1" width="15.28515625" customWidth="1"/>
    <col min="2" max="2" width="17.140625" customWidth="1"/>
    <col min="3" max="4" width="14.28515625" customWidth="1"/>
    <col min="5" max="6" width="17.140625" customWidth="1"/>
  </cols>
  <sheetData>
    <row r="1" spans="1:25" ht="24" x14ac:dyDescent="0.4">
      <c r="A1" s="83" t="s">
        <v>19</v>
      </c>
      <c r="B1" s="83"/>
      <c r="C1" s="83"/>
      <c r="D1" s="83"/>
      <c r="E1" s="83"/>
      <c r="F1" s="8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3" t="s">
        <v>20</v>
      </c>
      <c r="B2" s="33"/>
      <c r="C2" s="33"/>
      <c r="D2" s="33"/>
      <c r="E2" s="33"/>
      <c r="F2" s="3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3">
        <v>45778</v>
      </c>
      <c r="B5" s="4">
        <v>120000</v>
      </c>
      <c r="C5" s="6">
        <v>3000</v>
      </c>
      <c r="D5" s="7">
        <v>40</v>
      </c>
      <c r="E5" s="4">
        <v>48000</v>
      </c>
      <c r="F5" s="4">
        <v>25000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3">
        <v>45809</v>
      </c>
      <c r="B6" s="4">
        <v>125000</v>
      </c>
      <c r="C6" s="6">
        <v>3100</v>
      </c>
      <c r="D6" s="7">
        <v>40.32</v>
      </c>
      <c r="E6" s="4">
        <v>50000</v>
      </c>
      <c r="F6" s="4">
        <v>25500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3">
        <v>45839</v>
      </c>
      <c r="B7" s="4">
        <v>130500</v>
      </c>
      <c r="C7" s="6">
        <v>3200</v>
      </c>
      <c r="D7" s="7">
        <v>40.78</v>
      </c>
      <c r="E7" s="4">
        <v>52000</v>
      </c>
      <c r="F7" s="4">
        <v>26000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3">
        <v>45870</v>
      </c>
      <c r="B8" s="4">
        <v>128000</v>
      </c>
      <c r="C8" s="6">
        <v>3150</v>
      </c>
      <c r="D8" s="7">
        <v>40.630000000000003</v>
      </c>
      <c r="E8" s="4">
        <v>51000</v>
      </c>
      <c r="F8" s="4">
        <v>25800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3">
        <v>45901</v>
      </c>
      <c r="B9" s="4">
        <v>135000</v>
      </c>
      <c r="C9" s="6">
        <v>3300</v>
      </c>
      <c r="D9" s="7">
        <v>40.909999999999997</v>
      </c>
      <c r="E9" s="4">
        <v>54000</v>
      </c>
      <c r="F9" s="4">
        <v>26500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3">
        <v>45931</v>
      </c>
      <c r="B10" s="4">
        <v>140000</v>
      </c>
      <c r="C10" s="6">
        <v>3400</v>
      </c>
      <c r="D10" s="7">
        <v>41.18</v>
      </c>
      <c r="E10" s="4">
        <v>56000</v>
      </c>
      <c r="F10" s="4">
        <v>27000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3">
        <v>45962</v>
      </c>
      <c r="B11" s="4">
        <v>142500</v>
      </c>
      <c r="C11" s="6">
        <v>3450</v>
      </c>
      <c r="D11" s="7">
        <v>41.3</v>
      </c>
      <c r="E11" s="4">
        <v>57000</v>
      </c>
      <c r="F11" s="4">
        <v>27250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3">
        <v>45992</v>
      </c>
      <c r="B12" s="4">
        <v>150000</v>
      </c>
      <c r="C12" s="6">
        <v>3600</v>
      </c>
      <c r="D12" s="7">
        <v>41.67</v>
      </c>
      <c r="E12" s="4">
        <v>60000</v>
      </c>
      <c r="F12" s="4">
        <v>28000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sheetProtection sheet="1" objects="1" scenarios="1"/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19A4-22A8-4A5E-B7E6-0061154FFC87}">
  <sheetPr>
    <tabColor rgb="FFC00000"/>
  </sheetPr>
  <dimension ref="A1:Y54"/>
  <sheetViews>
    <sheetView workbookViewId="0">
      <selection activeCell="T49" sqref="T49"/>
    </sheetView>
  </sheetViews>
  <sheetFormatPr defaultRowHeight="15" x14ac:dyDescent="0.25"/>
  <cols>
    <col min="1" max="1" width="38.140625" customWidth="1"/>
    <col min="2" max="2" width="10.42578125" customWidth="1"/>
    <col min="3" max="5" width="16.140625" customWidth="1"/>
  </cols>
  <sheetData>
    <row r="1" spans="1:25" ht="24" x14ac:dyDescent="0.4">
      <c r="A1" s="83" t="s">
        <v>27</v>
      </c>
      <c r="B1" s="83"/>
      <c r="C1" s="83"/>
      <c r="D1" s="83"/>
      <c r="E1" s="8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3" t="s">
        <v>28</v>
      </c>
      <c r="B2" s="33"/>
      <c r="C2" s="33"/>
      <c r="D2" s="33"/>
      <c r="E2" s="3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2" t="s">
        <v>34</v>
      </c>
      <c r="B5" s="2" t="s">
        <v>35</v>
      </c>
      <c r="C5" s="5">
        <v>1.4999999999999999E-2</v>
      </c>
      <c r="D5" s="5">
        <v>0.03</v>
      </c>
      <c r="E5" s="5">
        <v>-0.01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2" t="s">
        <v>36</v>
      </c>
      <c r="B6" s="2" t="s">
        <v>35</v>
      </c>
      <c r="C6" s="5">
        <v>2E-3</v>
      </c>
      <c r="D6" s="5">
        <v>5.0000000000000001E-3</v>
      </c>
      <c r="E6" s="5">
        <v>-5.0000000000000001E-3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2" t="s">
        <v>37</v>
      </c>
      <c r="B7" s="2" t="s">
        <v>35</v>
      </c>
      <c r="C7" s="5">
        <v>0.4</v>
      </c>
      <c r="D7" s="5">
        <v>0.38</v>
      </c>
      <c r="E7" s="5">
        <v>0.45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2" t="s">
        <v>38</v>
      </c>
      <c r="B8" s="2" t="s">
        <v>35</v>
      </c>
      <c r="C8" s="5">
        <v>5.0000000000000001E-3</v>
      </c>
      <c r="D8" s="5">
        <v>2E-3</v>
      </c>
      <c r="E8" s="5">
        <v>1.4999999999999999E-2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sheetProtection sheet="1" objects="1" scenarios="1"/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0975-0B2E-458B-A8D1-8FD26CE2BE1A}">
  <sheetPr>
    <tabColor rgb="FFC00000"/>
  </sheetPr>
  <dimension ref="A1:Y54"/>
  <sheetViews>
    <sheetView workbookViewId="0">
      <selection activeCell="T49" sqref="T49"/>
    </sheetView>
  </sheetViews>
  <sheetFormatPr defaultRowHeight="15" x14ac:dyDescent="0.25"/>
  <cols>
    <col min="1" max="1" width="22.85546875" customWidth="1"/>
    <col min="2" max="2" width="17.140625" customWidth="1"/>
  </cols>
  <sheetData>
    <row r="1" spans="1:25" ht="24" x14ac:dyDescent="0.4">
      <c r="A1" s="83" t="s">
        <v>39</v>
      </c>
      <c r="B1" s="8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3" t="s">
        <v>40</v>
      </c>
      <c r="B2" s="3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" t="s">
        <v>41</v>
      </c>
      <c r="B4" s="1" t="s">
        <v>42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2" t="s">
        <v>31</v>
      </c>
      <c r="B5" s="2" t="s">
        <v>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2" t="s">
        <v>32</v>
      </c>
      <c r="B6" s="2" t="s">
        <v>43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2" t="s">
        <v>33</v>
      </c>
      <c r="B7" s="2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sheetProtection sheet="1" objects="1" scenarios="1"/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F7380-DF55-462F-A28E-5A5ED1F87074}">
  <sheetPr>
    <tabColor rgb="FFC00000"/>
  </sheetPr>
  <dimension ref="A1:Y54"/>
  <sheetViews>
    <sheetView workbookViewId="0">
      <selection activeCell="T49" sqref="T49"/>
    </sheetView>
  </sheetViews>
  <sheetFormatPr defaultRowHeight="15" x14ac:dyDescent="0.25"/>
  <cols>
    <col min="1" max="1" width="15.28515625" customWidth="1"/>
    <col min="2" max="2" width="13.28515625" customWidth="1"/>
    <col min="3" max="4" width="14.28515625" customWidth="1"/>
    <col min="5" max="7" width="17.140625" customWidth="1"/>
    <col min="8" max="8" width="18.140625" customWidth="1"/>
    <col min="9" max="9" width="16.140625" customWidth="1"/>
    <col min="10" max="11" width="18.140625" customWidth="1"/>
  </cols>
  <sheetData>
    <row r="1" spans="1:25" ht="24" x14ac:dyDescent="0.4">
      <c r="A1" s="83" t="s">
        <v>68</v>
      </c>
      <c r="B1" s="83"/>
      <c r="C1" s="83"/>
      <c r="D1" s="83"/>
      <c r="E1" s="83"/>
      <c r="F1" s="83"/>
      <c r="G1" s="83"/>
      <c r="H1" s="83"/>
      <c r="I1" s="84"/>
      <c r="J1" s="84"/>
      <c r="K1" s="8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3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" t="s">
        <v>21</v>
      </c>
      <c r="B4" s="1" t="s">
        <v>70</v>
      </c>
      <c r="C4" s="1" t="s">
        <v>23</v>
      </c>
      <c r="D4" s="1" t="s">
        <v>24</v>
      </c>
      <c r="E4" s="1" t="s">
        <v>22</v>
      </c>
      <c r="F4" s="1" t="s">
        <v>25</v>
      </c>
      <c r="G4" s="1" t="s">
        <v>26</v>
      </c>
      <c r="H4" s="1" t="s">
        <v>65</v>
      </c>
      <c r="I4" s="1" t="s">
        <v>66</v>
      </c>
      <c r="J4" s="1" t="s">
        <v>71</v>
      </c>
      <c r="K4" s="1" t="s">
        <v>72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3">
        <v>46023</v>
      </c>
      <c r="B5" s="2" t="s">
        <v>31</v>
      </c>
      <c r="C5" s="6" cm="1">
        <f t="array" ref="C5">INDEX(tblActuals[Volume],ROWS(tblActuals[Volume]))*(1+INDEX(tblAssumptions[[Base]:[Stress]],MATCH("Volume growth % (monthly)",tblAssumptions[Driver],0),MATCH($B5,{"Base","Opt","Stress"},0)))</f>
        <v>3653.9999999999995</v>
      </c>
      <c r="D5" s="7" cm="1">
        <f t="array" ref="D5">INDEX(tblActuals[Price],ROWS(tblActuals[Price]))*(1+INDEX(tblAssumptions[[Base]:[Stress]],MATCH("Price change % (monthly)",tblAssumptions[Driver],0),MATCH($B5,{"Base","Opt","Stress"},0)))</f>
        <v>41.753340000000001</v>
      </c>
      <c r="E5" s="4">
        <f t="shared" ref="E5:E40" si="0">C5*D5</f>
        <v>152566.70435999997</v>
      </c>
      <c r="F5" s="4">
        <f>E5*INDEX(tblAssumptions[[Base]:[Stress]],MATCH("COGS % of Revenue",tblAssumptions[Driver],0),MATCH($B5,{"Base","Opt","Stress"},0))</f>
        <v>61026.681743999994</v>
      </c>
      <c r="G5" s="4" cm="1">
        <f t="array" ref="G5">INDEX(tblActuals[OpEx],ROWS(tblActuals[OpEx]))*(1+INDEX(tblAssumptions[[Base]:[Stress]],MATCH("OpEx monthly change %",tblAssumptions[Driver],0),MATCH($B5,{"Base","Opt","Stress"},0)))</f>
        <v>28139.999999999996</v>
      </c>
      <c r="H5" s="4">
        <f t="shared" ref="H5:H40" si="1">E5-F5-G5</f>
        <v>63400.022615999973</v>
      </c>
      <c r="I5" s="5">
        <f t="shared" ref="I5:I40" si="2">H5/E5</f>
        <v>0.41555608664391014</v>
      </c>
      <c r="J5" s="4">
        <f t="shared" ref="J5:J40" si="3">H5</f>
        <v>63400.022615999973</v>
      </c>
      <c r="K5" s="4">
        <f>J5/(1+DiscountRate)^(1/12)</f>
        <v>62898.461451622745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3">
        <v>46054</v>
      </c>
      <c r="B6" s="2" t="s">
        <v>31</v>
      </c>
      <c r="C6" s="6">
        <f>C5*(1+INDEX(tblAssumptions[[Base]:[Stress]],MATCH("Volume growth % (monthly)",tblAssumptions[Driver],0),MATCH($B6,{"Base","Opt","Stress"},0)))</f>
        <v>3708.809999999999</v>
      </c>
      <c r="D6" s="7">
        <f>D5*(1+INDEX(tblAssumptions[[Base]:[Stress]],MATCH("Price change % (monthly)",tblAssumptions[Driver],0),MATCH($B6,{"Base","Opt","Stress"},0)))</f>
        <v>41.836846680000001</v>
      </c>
      <c r="E6" s="4">
        <f t="shared" si="0"/>
        <v>155164.91533525076</v>
      </c>
      <c r="F6" s="4">
        <f>E6*INDEX(tblAssumptions[[Base]:[Stress]],MATCH("COGS % of Revenue",tblAssumptions[Driver],0),MATCH($B6,{"Base","Opt","Stress"},0))</f>
        <v>62065.966134100308</v>
      </c>
      <c r="G6" s="4">
        <f>G5*(1+INDEX(tblAssumptions[[Base]:[Stress]],MATCH("OpEx monthly change %",tblAssumptions[Driver],0),MATCH($B6,{"Base","Opt","Stress"},0)))</f>
        <v>28280.699999999993</v>
      </c>
      <c r="H6" s="4">
        <f t="shared" si="1"/>
        <v>64818.249201150451</v>
      </c>
      <c r="I6" s="5">
        <f t="shared" si="2"/>
        <v>0.41773779247134274</v>
      </c>
      <c r="J6" s="4">
        <f t="shared" si="3"/>
        <v>64818.249201150451</v>
      </c>
      <c r="K6" s="4">
        <f>J6/(1+DiscountRate)^(2/12)</f>
        <v>63796.744169141537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3">
        <v>46082</v>
      </c>
      <c r="B7" s="2" t="s">
        <v>31</v>
      </c>
      <c r="C7" s="6">
        <f>C6*(1+INDEX(tblAssumptions[[Base]:[Stress]],MATCH("Volume growth % (monthly)",tblAssumptions[Driver],0),MATCH($B7,{"Base","Opt","Stress"},0)))</f>
        <v>3764.4421499999985</v>
      </c>
      <c r="D7" s="7">
        <f>D6*(1+INDEX(tblAssumptions[[Base]:[Stress]],MATCH("Price change % (monthly)",tblAssumptions[Driver],0),MATCH($B7,{"Base","Opt","Stress"},0)))</f>
        <v>41.920520373359999</v>
      </c>
      <c r="E7" s="4">
        <f t="shared" si="0"/>
        <v>157807.37384341005</v>
      </c>
      <c r="F7" s="4">
        <f>E7*INDEX(tblAssumptions[[Base]:[Stress]],MATCH("COGS % of Revenue",tblAssumptions[Driver],0),MATCH($B7,{"Base","Opt","Stress"},0))</f>
        <v>63122.949537364024</v>
      </c>
      <c r="G7" s="4">
        <f>G6*(1+INDEX(tblAssumptions[[Base]:[Stress]],MATCH("OpEx monthly change %",tblAssumptions[Driver],0),MATCH($B7,{"Base","Opt","Stress"},0)))</f>
        <v>28422.10349999999</v>
      </c>
      <c r="H7" s="4">
        <f t="shared" si="1"/>
        <v>66262.320806046046</v>
      </c>
      <c r="I7" s="5">
        <f t="shared" si="2"/>
        <v>0.4198936918613016</v>
      </c>
      <c r="J7" s="4">
        <f t="shared" si="3"/>
        <v>66262.320806046046</v>
      </c>
      <c r="K7" s="4">
        <f>J7/(1+DiscountRate)^(3/12)</f>
        <v>64702.114142507344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3">
        <v>46113</v>
      </c>
      <c r="B8" s="2" t="s">
        <v>31</v>
      </c>
      <c r="C8" s="6">
        <f>C7*(1+INDEX(tblAssumptions[[Base]:[Stress]],MATCH("Volume growth % (monthly)",tblAssumptions[Driver],0),MATCH($B8,{"Base","Opt","Stress"},0)))</f>
        <v>3820.9087822499982</v>
      </c>
      <c r="D8" s="7">
        <f>D7*(1+INDEX(tblAssumptions[[Base]:[Stress]],MATCH("Price change % (monthly)",tblAssumptions[Driver],0),MATCH($B8,{"Base","Opt","Stress"},0)))</f>
        <v>42.004361414106718</v>
      </c>
      <c r="E8" s="4">
        <f t="shared" si="0"/>
        <v>160494.83341996331</v>
      </c>
      <c r="F8" s="4">
        <f>E8*INDEX(tblAssumptions[[Base]:[Stress]],MATCH("COGS % of Revenue",tblAssumptions[Driver],0),MATCH($B8,{"Base","Opt","Stress"},0))</f>
        <v>64197.93336798533</v>
      </c>
      <c r="G8" s="4">
        <f>G7*(1+INDEX(tblAssumptions[[Base]:[Stress]],MATCH("OpEx monthly change %",tblAssumptions[Driver],0),MATCH($B8,{"Base","Opt","Stress"},0)))</f>
        <v>28564.214017499988</v>
      </c>
      <c r="H8" s="4">
        <f t="shared" si="1"/>
        <v>67732.686034477985</v>
      </c>
      <c r="I8" s="5">
        <f t="shared" si="2"/>
        <v>0.42202409006677088</v>
      </c>
      <c r="J8" s="4">
        <f t="shared" si="3"/>
        <v>67732.686034477985</v>
      </c>
      <c r="K8" s="4">
        <f>J8/(1+DiscountRate)^(4/12)</f>
        <v>65614.637945954833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3">
        <v>46143</v>
      </c>
      <c r="B9" s="2" t="s">
        <v>31</v>
      </c>
      <c r="C9" s="6">
        <f>C8*(1+INDEX(tblAssumptions[[Base]:[Stress]],MATCH("Volume growth % (monthly)",tblAssumptions[Driver],0),MATCH($B9,{"Base","Opt","Stress"},0)))</f>
        <v>3878.2224139837476</v>
      </c>
      <c r="D9" s="7">
        <f>D8*(1+INDEX(tblAssumptions[[Base]:[Stress]],MATCH("Price change % (monthly)",tblAssumptions[Driver],0),MATCH($B9,{"Base","Opt","Stress"},0)))</f>
        <v>42.088370136934934</v>
      </c>
      <c r="E9" s="4">
        <f t="shared" si="0"/>
        <v>163228.06043310527</v>
      </c>
      <c r="F9" s="4">
        <f>E9*INDEX(tblAssumptions[[Base]:[Stress]],MATCH("COGS % of Revenue",tblAssumptions[Driver],0),MATCH($B9,{"Base","Opt","Stress"},0))</f>
        <v>65291.22417324211</v>
      </c>
      <c r="G9" s="4">
        <f>G8*(1+INDEX(tblAssumptions[[Base]:[Stress]],MATCH("OpEx monthly change %",tblAssumptions[Driver],0),MATCH($B9,{"Base","Opt","Stress"},0)))</f>
        <v>28707.035087587483</v>
      </c>
      <c r="H9" s="4">
        <f t="shared" si="1"/>
        <v>69229.801172275678</v>
      </c>
      <c r="I9" s="5">
        <f t="shared" si="2"/>
        <v>0.42412928873003236</v>
      </c>
      <c r="J9" s="4">
        <f t="shared" si="3"/>
        <v>69229.801172275678</v>
      </c>
      <c r="K9" s="4">
        <f>J9/(1+DiscountRate)^(5/12)</f>
        <v>66534.382743277121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3">
        <v>46174</v>
      </c>
      <c r="B10" s="2" t="s">
        <v>31</v>
      </c>
      <c r="C10" s="6">
        <f>C9*(1+INDEX(tblAssumptions[[Base]:[Stress]],MATCH("Volume growth % (monthly)",tblAssumptions[Driver],0),MATCH($B10,{"Base","Opt","Stress"},0)))</f>
        <v>3936.3957501935033</v>
      </c>
      <c r="D10" s="7">
        <f>D9*(1+INDEX(tblAssumptions[[Base]:[Stress]],MATCH("Price change % (monthly)",tblAssumptions[Driver],0),MATCH($B10,{"Base","Opt","Stress"},0)))</f>
        <v>42.172546877208802</v>
      </c>
      <c r="E10" s="4">
        <f t="shared" si="0"/>
        <v>166007.83430228103</v>
      </c>
      <c r="F10" s="4">
        <f>E10*INDEX(tblAssumptions[[Base]:[Stress]],MATCH("COGS % of Revenue",tblAssumptions[Driver],0),MATCH($B10,{"Base","Opt","Stress"},0))</f>
        <v>66403.133720912418</v>
      </c>
      <c r="G10" s="4">
        <f>G9*(1+INDEX(tblAssumptions[[Base]:[Stress]],MATCH("OpEx monthly change %",tblAssumptions[Driver],0),MATCH($B10,{"Base","Opt","Stress"},0)))</f>
        <v>28850.570263025416</v>
      </c>
      <c r="H10" s="4">
        <f t="shared" si="1"/>
        <v>70754.130318343203</v>
      </c>
      <c r="I10" s="5">
        <f t="shared" si="2"/>
        <v>0.42620958592537345</v>
      </c>
      <c r="J10" s="4">
        <f t="shared" si="3"/>
        <v>70754.130318343203</v>
      </c>
      <c r="K10" s="4">
        <f>J10/(1+DiscountRate)^(6/12)</f>
        <v>67461.416293147573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3">
        <v>46204</v>
      </c>
      <c r="B11" s="2" t="s">
        <v>31</v>
      </c>
      <c r="C11" s="6">
        <f>C10*(1+INDEX(tblAssumptions[[Base]:[Stress]],MATCH("Volume growth % (monthly)",tblAssumptions[Driver],0),MATCH($B11,{"Base","Opt","Stress"},0)))</f>
        <v>3995.4416864464056</v>
      </c>
      <c r="D11" s="7">
        <f>D10*(1+INDEX(tblAssumptions[[Base]:[Stress]],MATCH("Price change % (monthly)",tblAssumptions[Driver],0),MATCH($B11,{"Base","Opt","Stress"},0)))</f>
        <v>42.256891970963217</v>
      </c>
      <c r="E11" s="4">
        <f t="shared" si="0"/>
        <v>168834.94772044886</v>
      </c>
      <c r="F11" s="4">
        <f>E11*INDEX(tblAssumptions[[Base]:[Stress]],MATCH("COGS % of Revenue",tblAssumptions[Driver],0),MATCH($B11,{"Base","Opt","Stress"},0))</f>
        <v>67533.979088179549</v>
      </c>
      <c r="G11" s="4">
        <f>G10*(1+INDEX(tblAssumptions[[Base]:[Stress]],MATCH("OpEx monthly change %",tblAssumptions[Driver],0),MATCH($B11,{"Base","Opt","Stress"},0)))</f>
        <v>28994.823114340539</v>
      </c>
      <c r="H11" s="4">
        <f t="shared" si="1"/>
        <v>72306.145517928773</v>
      </c>
      <c r="I11" s="5">
        <f t="shared" si="2"/>
        <v>0.42826527620129229</v>
      </c>
      <c r="J11" s="4">
        <f t="shared" si="3"/>
        <v>72306.145517928773</v>
      </c>
      <c r="K11" s="4">
        <f>J11/(1+DiscountRate)^(7/12)</f>
        <v>68395.806954489643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3">
        <v>46235</v>
      </c>
      <c r="B12" s="2" t="s">
        <v>31</v>
      </c>
      <c r="C12" s="6">
        <f>C11*(1+INDEX(tblAssumptions[[Base]:[Stress]],MATCH("Volume growth % (monthly)",tblAssumptions[Driver],0),MATCH($B12,{"Base","Opt","Stress"},0)))</f>
        <v>4055.3733117431011</v>
      </c>
      <c r="D12" s="7">
        <f>D11*(1+INDEX(tblAssumptions[[Base]:[Stress]],MATCH("Price change % (monthly)",tblAssumptions[Driver],0),MATCH($B12,{"Base","Opt","Stress"},0)))</f>
        <v>42.341405754905146</v>
      </c>
      <c r="E12" s="4">
        <f t="shared" si="0"/>
        <v>171710.20688012807</v>
      </c>
      <c r="F12" s="4">
        <f>E12*INDEX(tblAssumptions[[Base]:[Stress]],MATCH("COGS % of Revenue",tblAssumptions[Driver],0),MATCH($B12,{"Base","Opt","Stress"},0))</f>
        <v>68684.082752051225</v>
      </c>
      <c r="G12" s="4">
        <f>G11*(1+INDEX(tblAssumptions[[Base]:[Stress]],MATCH("OpEx monthly change %",tblAssumptions[Driver],0),MATCH($B12,{"Base","Opt","Stress"},0)))</f>
        <v>29139.797229912238</v>
      </c>
      <c r="H12" s="4">
        <f t="shared" si="1"/>
        <v>73886.326898164611</v>
      </c>
      <c r="I12" s="5">
        <f t="shared" si="2"/>
        <v>0.43029665062220268</v>
      </c>
      <c r="J12" s="4">
        <f t="shared" si="3"/>
        <v>73886.326898164611</v>
      </c>
      <c r="K12" s="4">
        <f>J12/(1+DiscountRate)^(8/12)</f>
        <v>69337.623691894769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3">
        <v>46266</v>
      </c>
      <c r="B13" s="2" t="s">
        <v>31</v>
      </c>
      <c r="C13" s="6">
        <f>C12*(1+INDEX(tblAssumptions[[Base]:[Stress]],MATCH("Volume growth % (monthly)",tblAssumptions[Driver],0),MATCH($B13,{"Base","Opt","Stress"},0)))</f>
        <v>4116.2039114192476</v>
      </c>
      <c r="D13" s="7">
        <f>D12*(1+INDEX(tblAssumptions[[Base]:[Stress]],MATCH("Price change % (monthly)",tblAssumptions[Driver],0),MATCH($B13,{"Base","Opt","Stress"},0)))</f>
        <v>42.426088566414954</v>
      </c>
      <c r="E13" s="4">
        <f t="shared" si="0"/>
        <v>174634.43170329666</v>
      </c>
      <c r="F13" s="4">
        <f>E13*INDEX(tblAssumptions[[Base]:[Stress]],MATCH("COGS % of Revenue",tblAssumptions[Driver],0),MATCH($B13,{"Base","Opt","Stress"},0))</f>
        <v>69853.772681318675</v>
      </c>
      <c r="G13" s="4">
        <f>G12*(1+INDEX(tblAssumptions[[Base]:[Stress]],MATCH("OpEx monthly change %",tblAssumptions[Driver],0),MATCH($B13,{"Base","Opt","Stress"},0)))</f>
        <v>29285.496216061794</v>
      </c>
      <c r="H13" s="4">
        <f t="shared" si="1"/>
        <v>75495.162805916189</v>
      </c>
      <c r="I13" s="5">
        <f t="shared" si="2"/>
        <v>0.43230399680964532</v>
      </c>
      <c r="J13" s="4">
        <f t="shared" si="3"/>
        <v>75495.162805916189</v>
      </c>
      <c r="K13" s="4">
        <f>J13/(1+DiscountRate)^(9/12)</f>
        <v>70286.936081088745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3">
        <v>46296</v>
      </c>
      <c r="B14" s="2" t="s">
        <v>31</v>
      </c>
      <c r="C14" s="6">
        <f>C13*(1+INDEX(tblAssumptions[[Base]:[Stress]],MATCH("Volume growth % (monthly)",tblAssumptions[Driver],0),MATCH($B14,{"Base","Opt","Stress"},0)))</f>
        <v>4177.9469700905356</v>
      </c>
      <c r="D14" s="7">
        <f>D13*(1+INDEX(tblAssumptions[[Base]:[Stress]],MATCH("Price change % (monthly)",tblAssumptions[Driver],0),MATCH($B14,{"Base","Opt","Stress"},0)))</f>
        <v>42.510940743547785</v>
      </c>
      <c r="E14" s="4">
        <f t="shared" si="0"/>
        <v>177608.45607520378</v>
      </c>
      <c r="F14" s="4">
        <f>E14*INDEX(tblAssumptions[[Base]:[Stress]],MATCH("COGS % of Revenue",tblAssumptions[Driver],0),MATCH($B14,{"Base","Opt","Stress"},0))</f>
        <v>71043.382430081518</v>
      </c>
      <c r="G14" s="4">
        <f>G13*(1+INDEX(tblAssumptions[[Base]:[Stress]],MATCH("OpEx monthly change %",tblAssumptions[Driver],0),MATCH($B14,{"Base","Opt","Stress"},0)))</f>
        <v>29431.923697142101</v>
      </c>
      <c r="H14" s="4">
        <f t="shared" si="1"/>
        <v>77133.149947980157</v>
      </c>
      <c r="I14" s="5">
        <f t="shared" si="2"/>
        <v>0.43428759898301289</v>
      </c>
      <c r="J14" s="4">
        <f t="shared" si="3"/>
        <v>77133.149947980157</v>
      </c>
      <c r="K14" s="4">
        <f>J14/(1+DiscountRate)^(10/12)</f>
        <v>71243.814314447343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3">
        <v>46327</v>
      </c>
      <c r="B15" s="2" t="s">
        <v>31</v>
      </c>
      <c r="C15" s="6">
        <f>C14*(1+INDEX(tblAssumptions[[Base]:[Stress]],MATCH("Volume growth % (monthly)",tblAssumptions[Driver],0),MATCH($B15,{"Base","Opt","Stress"},0)))</f>
        <v>4240.6161746418929</v>
      </c>
      <c r="D15" s="7">
        <f>D14*(1+INDEX(tblAssumptions[[Base]:[Stress]],MATCH("Price change % (monthly)",tblAssumptions[Driver],0),MATCH($B15,{"Base","Opt","Stress"},0)))</f>
        <v>42.595962625034879</v>
      </c>
      <c r="E15" s="4">
        <f t="shared" si="0"/>
        <v>180633.12808216445</v>
      </c>
      <c r="F15" s="4">
        <f>E15*INDEX(tblAssumptions[[Base]:[Stress]],MATCH("COGS % of Revenue",tblAssumptions[Driver],0),MATCH($B15,{"Base","Opt","Stress"},0))</f>
        <v>72253.251232865776</v>
      </c>
      <c r="G15" s="4">
        <f>G14*(1+INDEX(tblAssumptions[[Base]:[Stress]],MATCH("OpEx monthly change %",tblAssumptions[Driver],0),MATCH($B15,{"Base","Opt","Stress"},0)))</f>
        <v>29579.083315627809</v>
      </c>
      <c r="H15" s="4">
        <f t="shared" si="1"/>
        <v>78800.793533670862</v>
      </c>
      <c r="I15" s="5">
        <f t="shared" si="2"/>
        <v>0.43624773799979155</v>
      </c>
      <c r="J15" s="4">
        <f t="shared" si="3"/>
        <v>78800.793533670862</v>
      </c>
      <c r="K15" s="4">
        <f>J15/(1+DiscountRate)^(11/12)</f>
        <v>72208.329206561262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3">
        <v>46357</v>
      </c>
      <c r="B16" s="2" t="s">
        <v>31</v>
      </c>
      <c r="C16" s="6">
        <f>C15*(1+INDEX(tblAssumptions[[Base]:[Stress]],MATCH("Volume growth % (monthly)",tblAssumptions[Driver],0),MATCH($B16,{"Base","Opt","Stress"},0)))</f>
        <v>4304.2254172615212</v>
      </c>
      <c r="D16" s="7">
        <f>D15*(1+INDEX(tblAssumptions[[Base]:[Stress]],MATCH("Price change % (monthly)",tblAssumptions[Driver],0),MATCH($B16,{"Base","Opt","Stress"},0)))</f>
        <v>42.681154550284951</v>
      </c>
      <c r="E16" s="4">
        <f t="shared" si="0"/>
        <v>183709.31025340373</v>
      </c>
      <c r="F16" s="4">
        <f>E16*INDEX(tblAssumptions[[Base]:[Stress]],MATCH("COGS % of Revenue",tblAssumptions[Driver],0),MATCH($B16,{"Base","Opt","Stress"},0))</f>
        <v>73483.724101361498</v>
      </c>
      <c r="G16" s="4">
        <f>G15*(1+INDEX(tblAssumptions[[Base]:[Stress]],MATCH("OpEx monthly change %",tblAssumptions[Driver],0),MATCH($B16,{"Base","Opt","Stress"},0)))</f>
        <v>29726.978732205946</v>
      </c>
      <c r="H16" s="4">
        <f t="shared" si="1"/>
        <v>80498.607419836291</v>
      </c>
      <c r="I16" s="5">
        <f t="shared" si="2"/>
        <v>0.43818469139532806</v>
      </c>
      <c r="J16" s="4">
        <f t="shared" si="3"/>
        <v>80498.607419836291</v>
      </c>
      <c r="K16" s="4">
        <f>J16/(1+DiscountRate)^(12/12)</f>
        <v>73180.552199851169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3">
        <v>46023</v>
      </c>
      <c r="B17" s="2" t="s">
        <v>43</v>
      </c>
      <c r="C17" s="6" cm="1">
        <f t="array" ref="C17">INDEX(tblActuals[Volume],ROWS(tblActuals[Volume]))*(1+INDEX(tblAssumptions[[Base]:[Stress]],MATCH("Volume growth % (monthly)",tblAssumptions[Driver],0),MATCH($B17,{"Base","Opt","Stress"},0)))</f>
        <v>3708</v>
      </c>
      <c r="D17" s="7" cm="1">
        <f t="array" ref="D17">INDEX(tblActuals[Price],ROWS(tblActuals[Price]))*(1+INDEX(tblAssumptions[[Base]:[Stress]],MATCH("Price change % (monthly)",tblAssumptions[Driver],0),MATCH($B17,{"Base","Opt","Stress"},0)))</f>
        <v>41.878349999999998</v>
      </c>
      <c r="E17" s="4">
        <f t="shared" si="0"/>
        <v>155284.92179999998</v>
      </c>
      <c r="F17" s="4">
        <f>E17*INDEX(tblAssumptions[[Base]:[Stress]],MATCH("COGS % of Revenue",tblAssumptions[Driver],0),MATCH($B17,{"Base","Opt","Stress"},0))</f>
        <v>59008.270283999991</v>
      </c>
      <c r="G17" s="4" cm="1">
        <f t="array" ref="G17">INDEX(tblActuals[OpEx],ROWS(tblActuals[OpEx]))*(1+INDEX(tblAssumptions[[Base]:[Stress]],MATCH("OpEx monthly change %",tblAssumptions[Driver],0),MATCH($B17,{"Base","Opt","Stress"},0)))</f>
        <v>28056</v>
      </c>
      <c r="H17" s="4">
        <f t="shared" si="1"/>
        <v>68220.651515999984</v>
      </c>
      <c r="I17" s="5">
        <f t="shared" si="2"/>
        <v>0.43932566488242253</v>
      </c>
      <c r="J17" s="4">
        <f t="shared" si="3"/>
        <v>68220.651515999984</v>
      </c>
      <c r="K17" s="4">
        <f>J17/(1+DiscountRate)^(1/12)</f>
        <v>67680.954083773788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3">
        <v>46054</v>
      </c>
      <c r="B18" s="2" t="s">
        <v>43</v>
      </c>
      <c r="C18" s="6">
        <f>C17*(1+INDEX(tblAssumptions[[Base]:[Stress]],MATCH("Volume growth % (monthly)",tblAssumptions[Driver],0),MATCH($B18,{"Base","Opt","Stress"},0)))</f>
        <v>3819.2400000000002</v>
      </c>
      <c r="D18" s="7">
        <f>D17*(1+INDEX(tblAssumptions[[Base]:[Stress]],MATCH("Price change % (monthly)",tblAssumptions[Driver],0),MATCH($B18,{"Base","Opt","Stress"},0)))</f>
        <v>42.087741749999992</v>
      </c>
      <c r="E18" s="4">
        <f t="shared" si="0"/>
        <v>160743.18680126997</v>
      </c>
      <c r="F18" s="4">
        <f>E18*INDEX(tblAssumptions[[Base]:[Stress]],MATCH("COGS % of Revenue",tblAssumptions[Driver],0),MATCH($B18,{"Base","Opt","Stress"},0))</f>
        <v>61082.410984482587</v>
      </c>
      <c r="G18" s="4">
        <f>G17*(1+INDEX(tblAssumptions[[Base]:[Stress]],MATCH("OpEx monthly change %",tblAssumptions[Driver],0),MATCH($B18,{"Base","Opt","Stress"},0)))</f>
        <v>28112.112000000001</v>
      </c>
      <c r="H18" s="4">
        <f t="shared" si="1"/>
        <v>71548.66381678739</v>
      </c>
      <c r="I18" s="5">
        <f t="shared" si="2"/>
        <v>0.4451116419960271</v>
      </c>
      <c r="J18" s="4">
        <f t="shared" si="3"/>
        <v>71548.66381678739</v>
      </c>
      <c r="K18" s="4">
        <f>J18/(1+DiscountRate)^(2/12)</f>
        <v>70421.090625238343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3">
        <v>46082</v>
      </c>
      <c r="B19" s="2" t="s">
        <v>43</v>
      </c>
      <c r="C19" s="6">
        <f>C18*(1+INDEX(tblAssumptions[[Base]:[Stress]],MATCH("Volume growth % (monthly)",tblAssumptions[Driver],0),MATCH($B19,{"Base","Opt","Stress"},0)))</f>
        <v>3933.8172000000004</v>
      </c>
      <c r="D19" s="7">
        <f>D18*(1+INDEX(tblAssumptions[[Base]:[Stress]],MATCH("Price change % (monthly)",tblAssumptions[Driver],0),MATCH($B19,{"Base","Opt","Stress"},0)))</f>
        <v>42.298180458749989</v>
      </c>
      <c r="E19" s="4">
        <f t="shared" si="0"/>
        <v>166393.30981733461</v>
      </c>
      <c r="F19" s="4">
        <f>E19*INDEX(tblAssumptions[[Base]:[Stress]],MATCH("COGS % of Revenue",tblAssumptions[Driver],0),MATCH($B19,{"Base","Opt","Stress"},0))</f>
        <v>63229.45773058715</v>
      </c>
      <c r="G19" s="4">
        <f>G18*(1+INDEX(tblAssumptions[[Base]:[Stress]],MATCH("OpEx monthly change %",tblAssumptions[Driver],0),MATCH($B19,{"Base","Opt","Stress"},0)))</f>
        <v>28168.336224000002</v>
      </c>
      <c r="H19" s="4">
        <f t="shared" si="1"/>
        <v>74995.515862747459</v>
      </c>
      <c r="I19" s="5">
        <f t="shared" si="2"/>
        <v>0.45071232698644559</v>
      </c>
      <c r="J19" s="4">
        <f t="shared" si="3"/>
        <v>74995.515862747459</v>
      </c>
      <c r="K19" s="4">
        <f>J19/(1+DiscountRate)^(3/12)</f>
        <v>73229.678171564374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3">
        <v>46113</v>
      </c>
      <c r="B20" s="2" t="s">
        <v>43</v>
      </c>
      <c r="C20" s="6">
        <f>C19*(1+INDEX(tblAssumptions[[Base]:[Stress]],MATCH("Volume growth % (monthly)",tblAssumptions[Driver],0),MATCH($B20,{"Base","Opt","Stress"},0)))</f>
        <v>4051.8317160000006</v>
      </c>
      <c r="D20" s="7">
        <f>D19*(1+INDEX(tblAssumptions[[Base]:[Stress]],MATCH("Price change % (monthly)",tblAssumptions[Driver],0),MATCH($B20,{"Base","Opt","Stress"},0)))</f>
        <v>42.509671361043736</v>
      </c>
      <c r="E20" s="4">
        <f t="shared" si="0"/>
        <v>172242.03465741393</v>
      </c>
      <c r="F20" s="4">
        <f>E20*INDEX(tblAssumptions[[Base]:[Stress]],MATCH("COGS % of Revenue",tblAssumptions[Driver],0),MATCH($B20,{"Base","Opt","Stress"},0))</f>
        <v>65451.973169817291</v>
      </c>
      <c r="G20" s="4">
        <f>G19*(1+INDEX(tblAssumptions[[Base]:[Stress]],MATCH("OpEx monthly change %",tblAssumptions[Driver],0),MATCH($B20,{"Base","Opt","Stress"},0)))</f>
        <v>28224.672896448003</v>
      </c>
      <c r="H20" s="4">
        <f t="shared" si="1"/>
        <v>78565.388591148629</v>
      </c>
      <c r="I20" s="5">
        <f t="shared" si="2"/>
        <v>0.45613365371242665</v>
      </c>
      <c r="J20" s="4">
        <f t="shared" si="3"/>
        <v>78565.388591148629</v>
      </c>
      <c r="K20" s="4">
        <f>J20/(1+DiscountRate)^(4/12)</f>
        <v>76108.594377423578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3">
        <v>46143</v>
      </c>
      <c r="B21" s="2" t="s">
        <v>43</v>
      </c>
      <c r="C21" s="6">
        <f>C20*(1+INDEX(tblAssumptions[[Base]:[Stress]],MATCH("Volume growth % (monthly)",tblAssumptions[Driver],0),MATCH($B21,{"Base","Opt","Stress"},0)))</f>
        <v>4173.3866674800011</v>
      </c>
      <c r="D21" s="7">
        <f>D20*(1+INDEX(tblAssumptions[[Base]:[Stress]],MATCH("Price change % (monthly)",tblAssumptions[Driver],0),MATCH($B21,{"Base","Opt","Stress"},0)))</f>
        <v>42.722219717848951</v>
      </c>
      <c r="E21" s="4">
        <f t="shared" si="0"/>
        <v>178296.34217562203</v>
      </c>
      <c r="F21" s="4">
        <f>E21*INDEX(tblAssumptions[[Base]:[Stress]],MATCH("COGS % of Revenue",tblAssumptions[Driver],0),MATCH($B21,{"Base","Opt","Stress"},0))</f>
        <v>67752.61002673638</v>
      </c>
      <c r="G21" s="4">
        <f>G20*(1+INDEX(tblAssumptions[[Base]:[Stress]],MATCH("OpEx monthly change %",tblAssumptions[Driver],0),MATCH($B21,{"Base","Opt","Stress"},0)))</f>
        <v>28281.122242240897</v>
      </c>
      <c r="H21" s="4">
        <f t="shared" si="1"/>
        <v>82262.609906644764</v>
      </c>
      <c r="I21" s="5">
        <f t="shared" si="2"/>
        <v>0.46138136600478336</v>
      </c>
      <c r="J21" s="4">
        <f t="shared" si="3"/>
        <v>82262.609906644764</v>
      </c>
      <c r="K21" s="4">
        <f>J21/(1+DiscountRate)^(5/12)</f>
        <v>79059.767330105838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3">
        <v>46174</v>
      </c>
      <c r="B22" s="2" t="s">
        <v>43</v>
      </c>
      <c r="C22" s="6">
        <f>C21*(1+INDEX(tblAssumptions[[Base]:[Stress]],MATCH("Volume growth % (monthly)",tblAssumptions[Driver],0),MATCH($B22,{"Base","Opt","Stress"},0)))</f>
        <v>4298.5882675044013</v>
      </c>
      <c r="D22" s="7">
        <f>D21*(1+INDEX(tblAssumptions[[Base]:[Stress]],MATCH("Price change % (monthly)",tblAssumptions[Driver],0),MATCH($B22,{"Base","Opt","Stress"},0)))</f>
        <v>42.935830816438191</v>
      </c>
      <c r="E22" s="4">
        <f t="shared" si="0"/>
        <v>184563.45860309512</v>
      </c>
      <c r="F22" s="4">
        <f>E22*INDEX(tblAssumptions[[Base]:[Stress]],MATCH("COGS % of Revenue",tblAssumptions[Driver],0),MATCH($B22,{"Base","Opt","Stress"},0))</f>
        <v>70134.114269176149</v>
      </c>
      <c r="G22" s="4">
        <f>G21*(1+INDEX(tblAssumptions[[Base]:[Stress]],MATCH("OpEx monthly change %",tblAssumptions[Driver],0),MATCH($B22,{"Base","Opt","Stress"},0)))</f>
        <v>28337.684486725379</v>
      </c>
      <c r="H22" s="4">
        <f t="shared" si="1"/>
        <v>86091.659847193587</v>
      </c>
      <c r="I22" s="5">
        <f t="shared" si="2"/>
        <v>0.46646102375191312</v>
      </c>
      <c r="J22" s="4">
        <f t="shared" si="3"/>
        <v>86091.659847193587</v>
      </c>
      <c r="K22" s="4">
        <f>J22/(1+DiscountRate)^(6/12)</f>
        <v>82085.176910355978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3">
        <v>46204</v>
      </c>
      <c r="B23" s="2" t="s">
        <v>43</v>
      </c>
      <c r="C23" s="6">
        <f>C22*(1+INDEX(tblAssumptions[[Base]:[Stress]],MATCH("Volume growth % (monthly)",tblAssumptions[Driver],0),MATCH($B23,{"Base","Opt","Stress"},0)))</f>
        <v>4427.5459155295339</v>
      </c>
      <c r="D23" s="7">
        <f>D22*(1+INDEX(tblAssumptions[[Base]:[Stress]],MATCH("Price change % (monthly)",tblAssumptions[Driver],0),MATCH($B23,{"Base","Opt","Stress"},0)))</f>
        <v>43.150509970520375</v>
      </c>
      <c r="E23" s="4">
        <f t="shared" si="0"/>
        <v>191050.86417299393</v>
      </c>
      <c r="F23" s="4">
        <f>E23*INDEX(tblAssumptions[[Base]:[Stress]],MATCH("COGS % of Revenue",tblAssumptions[Driver],0),MATCH($B23,{"Base","Opt","Stress"},0))</f>
        <v>72599.328385737695</v>
      </c>
      <c r="G23" s="4">
        <f>G22*(1+INDEX(tblAssumptions[[Base]:[Stress]],MATCH("OpEx monthly change %",tblAssumptions[Driver],0),MATCH($B23,{"Base","Opt","Stress"},0)))</f>
        <v>28394.359855698829</v>
      </c>
      <c r="H23" s="4">
        <f t="shared" si="1"/>
        <v>90057.175931557402</v>
      </c>
      <c r="I23" s="5">
        <f t="shared" si="2"/>
        <v>0.47137800879043323</v>
      </c>
      <c r="J23" s="4">
        <f t="shared" si="3"/>
        <v>90057.175931557402</v>
      </c>
      <c r="K23" s="4">
        <f>J23/(1+DiscountRate)^(7/12)</f>
        <v>85186.8561898935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3">
        <v>46235</v>
      </c>
      <c r="B24" s="2" t="s">
        <v>43</v>
      </c>
      <c r="C24" s="6">
        <f>C23*(1+INDEX(tblAssumptions[[Base]:[Stress]],MATCH("Volume growth % (monthly)",tblAssumptions[Driver],0),MATCH($B24,{"Base","Opt","Stress"},0)))</f>
        <v>4560.3722929954201</v>
      </c>
      <c r="D24" s="7">
        <f>D23*(1+INDEX(tblAssumptions[[Base]:[Stress]],MATCH("Price change % (monthly)",tblAssumptions[Driver],0),MATCH($B24,{"Base","Opt","Stress"},0)))</f>
        <v>43.36626252037297</v>
      </c>
      <c r="E24" s="4">
        <f t="shared" si="0"/>
        <v>197766.30204867464</v>
      </c>
      <c r="F24" s="4">
        <f>E24*INDEX(tblAssumptions[[Base]:[Stress]],MATCH("COGS % of Revenue",tblAssumptions[Driver],0),MATCH($B24,{"Base","Opt","Stress"},0))</f>
        <v>75151.19477849637</v>
      </c>
      <c r="G24" s="4">
        <f>G23*(1+INDEX(tblAssumptions[[Base]:[Stress]],MATCH("OpEx monthly change %",tblAssumptions[Driver],0),MATCH($B24,{"Base","Opt","Stress"},0)))</f>
        <v>28451.148575410225</v>
      </c>
      <c r="H24" s="4">
        <f t="shared" si="1"/>
        <v>94163.958694768051</v>
      </c>
      <c r="I24" s="5">
        <f t="shared" si="2"/>
        <v>0.47613753060717201</v>
      </c>
      <c r="J24" s="4">
        <f t="shared" si="3"/>
        <v>94163.958694768051</v>
      </c>
      <c r="K24" s="4">
        <f>J24/(1+DiscountRate)^(8/12)</f>
        <v>88366.892866603419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3">
        <v>46266</v>
      </c>
      <c r="B25" s="2" t="s">
        <v>43</v>
      </c>
      <c r="C25" s="6">
        <f>C24*(1+INDEX(tblAssumptions[[Base]:[Stress]],MATCH("Volume growth % (monthly)",tblAssumptions[Driver],0),MATCH($B25,{"Base","Opt","Stress"},0)))</f>
        <v>4697.1834617852828</v>
      </c>
      <c r="D25" s="7">
        <f>D24*(1+INDEX(tblAssumptions[[Base]:[Stress]],MATCH("Price change % (monthly)",tblAssumptions[Driver],0),MATCH($B25,{"Base","Opt","Stress"},0)))</f>
        <v>43.583093832974832</v>
      </c>
      <c r="E25" s="4">
        <f t="shared" si="0"/>
        <v>204717.78756568555</v>
      </c>
      <c r="F25" s="4">
        <f>E25*INDEX(tblAssumptions[[Base]:[Stress]],MATCH("COGS % of Revenue",tblAssumptions[Driver],0),MATCH($B25,{"Base","Opt","Stress"},0))</f>
        <v>77792.75927496051</v>
      </c>
      <c r="G25" s="4">
        <f>G24*(1+INDEX(tblAssumptions[[Base]:[Stress]],MATCH("OpEx monthly change %",tblAssumptions[Driver],0),MATCH($B25,{"Base","Opt","Stress"},0)))</f>
        <v>28508.050872561045</v>
      </c>
      <c r="H25" s="4">
        <f t="shared" si="1"/>
        <v>98416.977418163995</v>
      </c>
      <c r="I25" s="5">
        <f t="shared" si="2"/>
        <v>0.48074463185855809</v>
      </c>
      <c r="J25" s="4">
        <f t="shared" si="3"/>
        <v>98416.977418163995</v>
      </c>
      <c r="K25" s="4">
        <f>J25/(1+DiscountRate)^(9/12)</f>
        <v>91627.430738414958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3">
        <v>46296</v>
      </c>
      <c r="B26" s="2" t="s">
        <v>43</v>
      </c>
      <c r="C26" s="6">
        <f>C25*(1+INDEX(tblAssumptions[[Base]:[Stress]],MATCH("Volume growth % (monthly)",tblAssumptions[Driver],0),MATCH($B26,{"Base","Opt","Stress"},0)))</f>
        <v>4838.098965638841</v>
      </c>
      <c r="D26" s="7">
        <f>D25*(1+INDEX(tblAssumptions[[Base]:[Stress]],MATCH("Price change % (monthly)",tblAssumptions[Driver],0),MATCH($B26,{"Base","Opt","Stress"},0)))</f>
        <v>43.801009302139704</v>
      </c>
      <c r="E26" s="4">
        <f t="shared" si="0"/>
        <v>211913.61779861935</v>
      </c>
      <c r="F26" s="4">
        <f>E26*INDEX(tblAssumptions[[Base]:[Stress]],MATCH("COGS % of Revenue",tblAssumptions[Driver],0),MATCH($B26,{"Base","Opt","Stress"},0))</f>
        <v>80527.174763475356</v>
      </c>
      <c r="G26" s="4">
        <f>G25*(1+INDEX(tblAssumptions[[Base]:[Stress]],MATCH("OpEx monthly change %",tblAssumptions[Driver],0),MATCH($B26,{"Base","Opt","Stress"},0)))</f>
        <v>28565.066974306166</v>
      </c>
      <c r="H26" s="4">
        <f t="shared" si="1"/>
        <v>102821.37606083785</v>
      </c>
      <c r="I26" s="5">
        <f t="shared" si="2"/>
        <v>0.48520419371325435</v>
      </c>
      <c r="J26" s="4">
        <f t="shared" si="3"/>
        <v>102821.37606083785</v>
      </c>
      <c r="K26" s="4">
        <f>J26/(1+DiscountRate)^(10/12)</f>
        <v>94970.671216910647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3">
        <v>46327</v>
      </c>
      <c r="B27" s="2" t="s">
        <v>43</v>
      </c>
      <c r="C27" s="6">
        <f>C26*(1+INDEX(tblAssumptions[[Base]:[Stress]],MATCH("Volume growth % (monthly)",tblAssumptions[Driver],0),MATCH($B27,{"Base","Opt","Stress"},0)))</f>
        <v>4983.241934608006</v>
      </c>
      <c r="D27" s="7">
        <f>D26*(1+INDEX(tblAssumptions[[Base]:[Stress]],MATCH("Price change % (monthly)",tblAssumptions[Driver],0),MATCH($B27,{"Base","Opt","Stress"},0)))</f>
        <v>44.020014348650399</v>
      </c>
      <c r="E27" s="4">
        <f t="shared" si="0"/>
        <v>219362.38146424081</v>
      </c>
      <c r="F27" s="4">
        <f>E27*INDEX(tblAssumptions[[Base]:[Stress]],MATCH("COGS % of Revenue",tblAssumptions[Driver],0),MATCH($B27,{"Base","Opt","Stress"},0))</f>
        <v>83357.704956411515</v>
      </c>
      <c r="G27" s="4">
        <f>G26*(1+INDEX(tblAssumptions[[Base]:[Stress]],MATCH("OpEx monthly change %",tblAssumptions[Driver],0),MATCH($B27,{"Base","Opt","Stress"},0)))</f>
        <v>28622.197108254779</v>
      </c>
      <c r="H27" s="4">
        <f t="shared" si="1"/>
        <v>107382.4793995745</v>
      </c>
      <c r="I27" s="5">
        <f t="shared" si="2"/>
        <v>0.4895209410236977</v>
      </c>
      <c r="J27" s="4">
        <f t="shared" si="3"/>
        <v>107382.4793995745</v>
      </c>
      <c r="K27" s="4">
        <f>J27/(1+DiscountRate)^(11/12)</f>
        <v>98398.874881736861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3">
        <v>46357</v>
      </c>
      <c r="B28" s="2" t="s">
        <v>43</v>
      </c>
      <c r="C28" s="6">
        <f>C27*(1+INDEX(tblAssumptions[[Base]:[Stress]],MATCH("Volume growth % (monthly)",tblAssumptions[Driver],0),MATCH($B28,{"Base","Opt","Stress"},0)))</f>
        <v>5132.739192646246</v>
      </c>
      <c r="D28" s="7">
        <f>D27*(1+INDEX(tblAssumptions[[Base]:[Stress]],MATCH("Price change % (monthly)",tblAssumptions[Driver],0),MATCH($B28,{"Base","Opt","Stress"},0)))</f>
        <v>44.240114420393645</v>
      </c>
      <c r="E28" s="4">
        <f t="shared" si="0"/>
        <v>227072.96917270884</v>
      </c>
      <c r="F28" s="4">
        <f>E28*INDEX(tblAssumptions[[Base]:[Stress]],MATCH("COGS % of Revenue",tblAssumptions[Driver],0),MATCH($B28,{"Base","Opt","Stress"},0))</f>
        <v>86287.72828562936</v>
      </c>
      <c r="G28" s="4">
        <f>G27*(1+INDEX(tblAssumptions[[Base]:[Stress]],MATCH("OpEx monthly change %",tblAssumptions[Driver],0),MATCH($B28,{"Base","Opt","Stress"},0)))</f>
        <v>28679.441502471287</v>
      </c>
      <c r="H28" s="4">
        <f t="shared" si="1"/>
        <v>112105.7993846082</v>
      </c>
      <c r="I28" s="5">
        <f t="shared" si="2"/>
        <v>0.49369944733202453</v>
      </c>
      <c r="J28" s="4">
        <f t="shared" si="3"/>
        <v>112105.7993846082</v>
      </c>
      <c r="K28" s="4">
        <f>J28/(1+DiscountRate)^(12/12)</f>
        <v>101914.36307691653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3">
        <v>46023</v>
      </c>
      <c r="B29" s="2" t="s">
        <v>33</v>
      </c>
      <c r="C29" s="6" cm="1">
        <f t="array" ref="C29">INDEX(tblActuals[Volume],ROWS(tblActuals[Volume]))*(1+INDEX(tblAssumptions[[Base]:[Stress]],MATCH("Volume growth % (monthly)",tblAssumptions[Driver],0),MATCH($B29,{"Base","Opt","Stress"},0)))</f>
        <v>3564</v>
      </c>
      <c r="D29" s="7" cm="1">
        <f t="array" ref="D29">INDEX(tblActuals[Price],ROWS(tblActuals[Price]))*(1+INDEX(tblAssumptions[[Base]:[Stress]],MATCH("Price change % (monthly)",tblAssumptions[Driver],0),MATCH($B29,{"Base","Opt","Stress"},0)))</f>
        <v>41.461649999999999</v>
      </c>
      <c r="E29" s="4">
        <f t="shared" si="0"/>
        <v>147769.32060000001</v>
      </c>
      <c r="F29" s="4">
        <f>E29*INDEX(tblAssumptions[[Base]:[Stress]],MATCH("COGS % of Revenue",tblAssumptions[Driver],0),MATCH($B29,{"Base","Opt","Stress"},0))</f>
        <v>66496.194270000007</v>
      </c>
      <c r="G29" s="4" cm="1">
        <f t="array" ref="G29">INDEX(tblActuals[OpEx],ROWS(tblActuals[OpEx]))*(1+INDEX(tblAssumptions[[Base]:[Stress]],MATCH("OpEx monthly change %",tblAssumptions[Driver],0),MATCH($B29,{"Base","Opt","Stress"},0)))</f>
        <v>28419.999999999996</v>
      </c>
      <c r="H29" s="4">
        <f t="shared" si="1"/>
        <v>52853.126329999999</v>
      </c>
      <c r="I29" s="5">
        <f t="shared" si="2"/>
        <v>0.35767320385176082</v>
      </c>
      <c r="J29" s="4">
        <f t="shared" si="3"/>
        <v>52853.126329999999</v>
      </c>
      <c r="K29" s="4">
        <f>J29/(1+DiscountRate)^(1/12)</f>
        <v>52435.002258600034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3">
        <v>46054</v>
      </c>
      <c r="B30" s="2" t="s">
        <v>33</v>
      </c>
      <c r="C30" s="6">
        <f>C29*(1+INDEX(tblAssumptions[[Base]:[Stress]],MATCH("Volume growth % (monthly)",tblAssumptions[Driver],0),MATCH($B30,{"Base","Opt","Stress"},0)))</f>
        <v>3528.36</v>
      </c>
      <c r="D30" s="7">
        <f>D29*(1+INDEX(tblAssumptions[[Base]:[Stress]],MATCH("Price change % (monthly)",tblAssumptions[Driver],0),MATCH($B30,{"Base","Opt","Stress"},0)))</f>
        <v>41.254341750000002</v>
      </c>
      <c r="E30" s="4">
        <f t="shared" si="0"/>
        <v>145560.16925703001</v>
      </c>
      <c r="F30" s="4">
        <f>E30*INDEX(tblAssumptions[[Base]:[Stress]],MATCH("COGS % of Revenue",tblAssumptions[Driver],0),MATCH($B30,{"Base","Opt","Stress"},0))</f>
        <v>65502.076165663508</v>
      </c>
      <c r="G30" s="4">
        <f>G29*(1+INDEX(tblAssumptions[[Base]:[Stress]],MATCH("OpEx monthly change %",tblAssumptions[Driver],0),MATCH($B30,{"Base","Opt","Stress"},0)))</f>
        <v>28846.299999999992</v>
      </c>
      <c r="H30" s="4">
        <f t="shared" si="1"/>
        <v>51211.793091366504</v>
      </c>
      <c r="I30" s="5">
        <f t="shared" si="2"/>
        <v>0.35182559454803031</v>
      </c>
      <c r="J30" s="4">
        <f t="shared" si="3"/>
        <v>51211.793091366504</v>
      </c>
      <c r="K30" s="4">
        <f>J30/(1+DiscountRate)^(2/12)</f>
        <v>50404.719389349542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3">
        <v>46082</v>
      </c>
      <c r="B31" s="2" t="s">
        <v>33</v>
      </c>
      <c r="C31" s="6">
        <f>C30*(1+INDEX(tblAssumptions[[Base]:[Stress]],MATCH("Volume growth % (monthly)",tblAssumptions[Driver],0),MATCH($B31,{"Base","Opt","Stress"},0)))</f>
        <v>3493.0763999999999</v>
      </c>
      <c r="D31" s="7">
        <f>D30*(1+INDEX(tblAssumptions[[Base]:[Stress]],MATCH("Price change % (monthly)",tblAssumptions[Driver],0),MATCH($B31,{"Base","Opt","Stress"},0)))</f>
        <v>41.04807004125</v>
      </c>
      <c r="E31" s="4">
        <f t="shared" si="0"/>
        <v>143384.0447266374</v>
      </c>
      <c r="F31" s="4">
        <f>E31*INDEX(tblAssumptions[[Base]:[Stress]],MATCH("COGS % of Revenue",tblAssumptions[Driver],0),MATCH($B31,{"Base","Opt","Stress"},0))</f>
        <v>64522.82012698683</v>
      </c>
      <c r="G31" s="4">
        <f>G30*(1+INDEX(tblAssumptions[[Base]:[Stress]],MATCH("OpEx monthly change %",tblAssumptions[Driver],0),MATCH($B31,{"Base","Opt","Stress"},0)))</f>
        <v>29278.99449999999</v>
      </c>
      <c r="H31" s="4">
        <f t="shared" si="1"/>
        <v>49582.23009965058</v>
      </c>
      <c r="I31" s="5">
        <f t="shared" si="2"/>
        <v>0.34580019132658324</v>
      </c>
      <c r="J31" s="4">
        <f t="shared" si="3"/>
        <v>49582.23009965058</v>
      </c>
      <c r="K31" s="4">
        <f>J31/(1+DiscountRate)^(3/12)</f>
        <v>48414.771356075675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3">
        <v>46113</v>
      </c>
      <c r="B32" s="2" t="s">
        <v>33</v>
      </c>
      <c r="C32" s="6">
        <f>C31*(1+INDEX(tblAssumptions[[Base]:[Stress]],MATCH("Volume growth % (monthly)",tblAssumptions[Driver],0),MATCH($B32,{"Base","Opt","Stress"},0)))</f>
        <v>3458.1456359999997</v>
      </c>
      <c r="D32" s="7">
        <f>D31*(1+INDEX(tblAssumptions[[Base]:[Stress]],MATCH("Price change % (monthly)",tblAssumptions[Driver],0),MATCH($B32,{"Base","Opt","Stress"},0)))</f>
        <v>40.842829691043747</v>
      </c>
      <c r="E32" s="4">
        <f t="shared" si="0"/>
        <v>141240.45325797415</v>
      </c>
      <c r="F32" s="4">
        <f>E32*INDEX(tblAssumptions[[Base]:[Stress]],MATCH("COGS % of Revenue",tblAssumptions[Driver],0),MATCH($B32,{"Base","Opt","Stress"},0))</f>
        <v>63558.203966088367</v>
      </c>
      <c r="G32" s="4">
        <f>G31*(1+INDEX(tblAssumptions[[Base]:[Stress]],MATCH("OpEx monthly change %",tblAssumptions[Driver],0),MATCH($B32,{"Base","Opt","Stress"},0)))</f>
        <v>29718.179417499985</v>
      </c>
      <c r="H32" s="4">
        <f t="shared" si="1"/>
        <v>47964.069874385808</v>
      </c>
      <c r="I32" s="5">
        <f t="shared" si="2"/>
        <v>0.33959158844371562</v>
      </c>
      <c r="J32" s="4">
        <f t="shared" si="3"/>
        <v>47964.069874385808</v>
      </c>
      <c r="K32" s="4">
        <f>J32/(1+DiscountRate)^(4/12)</f>
        <v>46464.20012961411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3">
        <v>46143</v>
      </c>
      <c r="B33" s="2" t="s">
        <v>33</v>
      </c>
      <c r="C33" s="6">
        <f>C32*(1+INDEX(tblAssumptions[[Base]:[Stress]],MATCH("Volume growth % (monthly)",tblAssumptions[Driver],0),MATCH($B33,{"Base","Opt","Stress"},0)))</f>
        <v>3423.5641796399996</v>
      </c>
      <c r="D33" s="7">
        <f>D32*(1+INDEX(tblAssumptions[[Base]:[Stress]],MATCH("Price change % (monthly)",tblAssumptions[Driver],0),MATCH($B33,{"Base","Opt","Stress"},0)))</f>
        <v>40.638615542588525</v>
      </c>
      <c r="E33" s="4">
        <f t="shared" si="0"/>
        <v>139128.90848176743</v>
      </c>
      <c r="F33" s="4">
        <f>E33*INDEX(tblAssumptions[[Base]:[Stress]],MATCH("COGS % of Revenue",tblAssumptions[Driver],0),MATCH($B33,{"Base","Opt","Stress"},0))</f>
        <v>62608.008816795344</v>
      </c>
      <c r="G33" s="4">
        <f>G32*(1+INDEX(tblAssumptions[[Base]:[Stress]],MATCH("OpEx monthly change %",tblAssumptions[Driver],0),MATCH($B33,{"Base","Opt","Stress"},0)))</f>
        <v>30163.952108762482</v>
      </c>
      <c r="H33" s="4">
        <f t="shared" si="1"/>
        <v>46356.947556209612</v>
      </c>
      <c r="I33" s="5">
        <f t="shared" si="2"/>
        <v>0.33319421579652941</v>
      </c>
      <c r="J33" s="4">
        <f t="shared" si="3"/>
        <v>46356.947556209612</v>
      </c>
      <c r="K33" s="4">
        <f>J33/(1+DiscountRate)^(5/12)</f>
        <v>44552.069185344582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3">
        <v>46174</v>
      </c>
      <c r="B34" s="2" t="s">
        <v>33</v>
      </c>
      <c r="C34" s="6">
        <f>C33*(1+INDEX(tblAssumptions[[Base]:[Stress]],MATCH("Volume growth % (monthly)",tblAssumptions[Driver],0),MATCH($B34,{"Base","Opt","Stress"},0)))</f>
        <v>3389.3285378435994</v>
      </c>
      <c r="D34" s="7">
        <f>D33*(1+INDEX(tblAssumptions[[Base]:[Stress]],MATCH("Price change % (monthly)",tblAssumptions[Driver],0),MATCH($B34,{"Base","Opt","Stress"},0)))</f>
        <v>40.435422464875579</v>
      </c>
      <c r="E34" s="4">
        <f t="shared" si="0"/>
        <v>137048.93129996498</v>
      </c>
      <c r="F34" s="4">
        <f>E34*INDEX(tblAssumptions[[Base]:[Stress]],MATCH("COGS % of Revenue",tblAssumptions[Driver],0),MATCH($B34,{"Base","Opt","Stress"},0))</f>
        <v>61672.019084984247</v>
      </c>
      <c r="G34" s="4">
        <f>G33*(1+INDEX(tblAssumptions[[Base]:[Stress]],MATCH("OpEx monthly change %",tblAssumptions[Driver],0),MATCH($B34,{"Base","Opt","Stress"},0)))</f>
        <v>30616.411390393914</v>
      </c>
      <c r="H34" s="4">
        <f t="shared" si="1"/>
        <v>44760.500824586823</v>
      </c>
      <c r="I34" s="5">
        <f t="shared" si="2"/>
        <v>0.32660233392566601</v>
      </c>
      <c r="J34" s="4">
        <f t="shared" si="3"/>
        <v>44760.500824586823</v>
      </c>
      <c r="K34" s="4">
        <f>J34/(1+DiscountRate)^(6/12)</f>
        <v>42677.463012140019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3">
        <v>46204</v>
      </c>
      <c r="B35" s="2" t="s">
        <v>33</v>
      </c>
      <c r="C35" s="6">
        <f>C34*(1+INDEX(tblAssumptions[[Base]:[Stress]],MATCH("Volume growth % (monthly)",tblAssumptions[Driver],0),MATCH($B35,{"Base","Opt","Stress"},0)))</f>
        <v>3355.4352524651636</v>
      </c>
      <c r="D35" s="7">
        <f>D34*(1+INDEX(tblAssumptions[[Base]:[Stress]],MATCH("Price change % (monthly)",tblAssumptions[Driver],0),MATCH($B35,{"Base","Opt","Stress"},0)))</f>
        <v>40.233245352551201</v>
      </c>
      <c r="E35" s="4">
        <f t="shared" si="0"/>
        <v>135000.04977703051</v>
      </c>
      <c r="F35" s="4">
        <f>E35*INDEX(tblAssumptions[[Base]:[Stress]],MATCH("COGS % of Revenue",tblAssumptions[Driver],0),MATCH($B35,{"Base","Opt","Stress"},0))</f>
        <v>60750.022399663729</v>
      </c>
      <c r="G35" s="4">
        <f>G34*(1+INDEX(tblAssumptions[[Base]:[Stress]],MATCH("OpEx monthly change %",tblAssumptions[Driver],0),MATCH($B35,{"Base","Opt","Stress"},0)))</f>
        <v>31075.65756124982</v>
      </c>
      <c r="H35" s="4">
        <f t="shared" si="1"/>
        <v>43174.369816116967</v>
      </c>
      <c r="I35" s="5">
        <f t="shared" si="2"/>
        <v>0.31981002886609927</v>
      </c>
      <c r="J35" s="4">
        <f t="shared" si="3"/>
        <v>43174.369816116967</v>
      </c>
      <c r="K35" s="4">
        <f>J35/(1+DiscountRate)^(7/12)</f>
        <v>40839.486632469969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3">
        <v>46235</v>
      </c>
      <c r="B36" s="2" t="s">
        <v>33</v>
      </c>
      <c r="C36" s="6">
        <f>C35*(1+INDEX(tblAssumptions[[Base]:[Stress]],MATCH("Volume growth % (monthly)",tblAssumptions[Driver],0),MATCH($B36,{"Base","Opt","Stress"},0)))</f>
        <v>3321.8808999405119</v>
      </c>
      <c r="D36" s="7">
        <f>D35*(1+INDEX(tblAssumptions[[Base]:[Stress]],MATCH("Price change % (monthly)",tblAssumptions[Driver],0),MATCH($B36,{"Base","Opt","Stress"},0)))</f>
        <v>40.032079125788442</v>
      </c>
      <c r="E36" s="4">
        <f t="shared" si="0"/>
        <v>132981.7990328639</v>
      </c>
      <c r="F36" s="4">
        <f>E36*INDEX(tblAssumptions[[Base]:[Stress]],MATCH("COGS % of Revenue",tblAssumptions[Driver],0),MATCH($B36,{"Base","Opt","Stress"},0))</f>
        <v>59841.809564788753</v>
      </c>
      <c r="G36" s="4">
        <f>G35*(1+INDEX(tblAssumptions[[Base]:[Stress]],MATCH("OpEx monthly change %",tblAssumptions[Driver],0),MATCH($B36,{"Base","Opt","Stress"},0)))</f>
        <v>31541.792424668565</v>
      </c>
      <c r="H36" s="4">
        <f t="shared" si="1"/>
        <v>41598.197043406581</v>
      </c>
      <c r="I36" s="5">
        <f t="shared" si="2"/>
        <v>0.3128112068413692</v>
      </c>
      <c r="J36" s="4">
        <f t="shared" si="3"/>
        <v>41598.197043406581</v>
      </c>
      <c r="K36" s="4">
        <f>J36/(1+DiscountRate)^(8/12)</f>
        <v>39037.265133404049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3">
        <v>46266</v>
      </c>
      <c r="B37" s="2" t="s">
        <v>33</v>
      </c>
      <c r="C37" s="6">
        <f>C36*(1+INDEX(tblAssumptions[[Base]:[Stress]],MATCH("Volume growth % (monthly)",tblAssumptions[Driver],0),MATCH($B37,{"Base","Opt","Stress"},0)))</f>
        <v>3288.6620909411067</v>
      </c>
      <c r="D37" s="7">
        <f>D36*(1+INDEX(tblAssumptions[[Base]:[Stress]],MATCH("Price change % (monthly)",tblAssumptions[Driver],0),MATCH($B37,{"Base","Opt","Stress"},0)))</f>
        <v>39.831918730159501</v>
      </c>
      <c r="E37" s="4">
        <f t="shared" si="0"/>
        <v>130993.72113732257</v>
      </c>
      <c r="F37" s="4">
        <f>E37*INDEX(tblAssumptions[[Base]:[Stress]],MATCH("COGS % of Revenue",tblAssumptions[Driver],0),MATCH($B37,{"Base","Opt","Stress"},0))</f>
        <v>58947.174511795158</v>
      </c>
      <c r="G37" s="4">
        <f>G36*(1+INDEX(tblAssumptions[[Base]:[Stress]],MATCH("OpEx monthly change %",tblAssumptions[Driver],0),MATCH($B37,{"Base","Opt","Stress"},0)))</f>
        <v>32014.91931103859</v>
      </c>
      <c r="H37" s="4">
        <f t="shared" si="1"/>
        <v>40031.627314488818</v>
      </c>
      <c r="I37" s="5">
        <f t="shared" si="2"/>
        <v>0.30559958879649735</v>
      </c>
      <c r="J37" s="4">
        <f t="shared" si="3"/>
        <v>40031.627314488818</v>
      </c>
      <c r="K37" s="4">
        <f>J37/(1+DiscountRate)^(9/12)</f>
        <v>37269.943208267985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3">
        <v>46296</v>
      </c>
      <c r="B38" s="2" t="s">
        <v>33</v>
      </c>
      <c r="C38" s="6">
        <f>C37*(1+INDEX(tblAssumptions[[Base]:[Stress]],MATCH("Volume growth % (monthly)",tblAssumptions[Driver],0),MATCH($B38,{"Base","Opt","Stress"},0)))</f>
        <v>3255.7754700316955</v>
      </c>
      <c r="D38" s="7">
        <f>D37*(1+INDEX(tblAssumptions[[Base]:[Stress]],MATCH("Price change % (monthly)",tblAssumptions[Driver],0),MATCH($B38,{"Base","Opt","Stress"},0)))</f>
        <v>39.632759136508703</v>
      </c>
      <c r="E38" s="4">
        <f t="shared" si="0"/>
        <v>129035.3650063196</v>
      </c>
      <c r="F38" s="4">
        <f>E38*INDEX(tblAssumptions[[Base]:[Stress]],MATCH("COGS % of Revenue",tblAssumptions[Driver],0),MATCH($B38,{"Base","Opt","Stress"},0))</f>
        <v>58065.914252843817</v>
      </c>
      <c r="G38" s="4">
        <f>G37*(1+INDEX(tblAssumptions[[Base]:[Stress]],MATCH("OpEx monthly change %",tblAssumptions[Driver],0),MATCH($B38,{"Base","Opt","Stress"},0)))</f>
        <v>32495.143100704165</v>
      </c>
      <c r="H38" s="4">
        <f t="shared" si="1"/>
        <v>38474.307652771604</v>
      </c>
      <c r="I38" s="5">
        <f t="shared" si="2"/>
        <v>0.29816870476467672</v>
      </c>
      <c r="J38" s="4">
        <f t="shared" si="3"/>
        <v>38474.307652771604</v>
      </c>
      <c r="K38" s="4">
        <f>J38/(1+DiscountRate)^(10/12)</f>
        <v>35536.684708709457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3">
        <v>46327</v>
      </c>
      <c r="B39" s="2" t="s">
        <v>33</v>
      </c>
      <c r="C39" s="6">
        <f>C38*(1+INDEX(tblAssumptions[[Base]:[Stress]],MATCH("Volume growth % (monthly)",tblAssumptions[Driver],0),MATCH($B39,{"Base","Opt","Stress"},0)))</f>
        <v>3223.2177153313787</v>
      </c>
      <c r="D39" s="7">
        <f>D38*(1+INDEX(tblAssumptions[[Base]:[Stress]],MATCH("Price change % (monthly)",tblAssumptions[Driver],0),MATCH($B39,{"Base","Opt","Stress"},0)))</f>
        <v>39.434595340826156</v>
      </c>
      <c r="E39" s="4">
        <f t="shared" si="0"/>
        <v>127106.28629947512</v>
      </c>
      <c r="F39" s="4">
        <f>E39*INDEX(tblAssumptions[[Base]:[Stress]],MATCH("COGS % of Revenue",tblAssumptions[Driver],0),MATCH($B39,{"Base","Opt","Stress"},0))</f>
        <v>57197.828834763808</v>
      </c>
      <c r="G39" s="4">
        <f>G38*(1+INDEX(tblAssumptions[[Base]:[Stress]],MATCH("OpEx monthly change %",tblAssumptions[Driver],0),MATCH($B39,{"Base","Opt","Stress"},0)))</f>
        <v>32982.570247214724</v>
      </c>
      <c r="H39" s="4">
        <f t="shared" si="1"/>
        <v>36925.88721749658</v>
      </c>
      <c r="I39" s="5">
        <f t="shared" si="2"/>
        <v>0.29051188806268402</v>
      </c>
      <c r="J39" s="4">
        <f t="shared" si="3"/>
        <v>36925.88721749658</v>
      </c>
      <c r="K39" s="4">
        <f>J39/(1+DiscountRate)^(11/12)</f>
        <v>33836.672206937052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3">
        <v>46357</v>
      </c>
      <c r="B40" s="2" t="s">
        <v>33</v>
      </c>
      <c r="C40" s="6">
        <f>C39*(1+INDEX(tblAssumptions[[Base]:[Stress]],MATCH("Volume growth % (monthly)",tblAssumptions[Driver],0),MATCH($B40,{"Base","Opt","Stress"},0)))</f>
        <v>3190.9855381780649</v>
      </c>
      <c r="D40" s="7">
        <f>D39*(1+INDEX(tblAssumptions[[Base]:[Stress]],MATCH("Price change % (monthly)",tblAssumptions[Driver],0),MATCH($B40,{"Base","Opt","Stress"},0)))</f>
        <v>39.237422364122025</v>
      </c>
      <c r="E40" s="4">
        <f t="shared" si="0"/>
        <v>125206.04731929796</v>
      </c>
      <c r="F40" s="4">
        <f>E40*INDEX(tblAssumptions[[Base]:[Stress]],MATCH("COGS % of Revenue",tblAssumptions[Driver],0),MATCH($B40,{"Base","Opt","Stress"},0))</f>
        <v>56342.721293684081</v>
      </c>
      <c r="G40" s="4">
        <f>G39*(1+INDEX(tblAssumptions[[Base]:[Stress]],MATCH("OpEx monthly change %",tblAssumptions[Driver],0),MATCH($B40,{"Base","Opt","Stress"},0)))</f>
        <v>33477.30880092294</v>
      </c>
      <c r="H40" s="4">
        <f t="shared" si="1"/>
        <v>35386.017224690935</v>
      </c>
      <c r="I40" s="5">
        <f t="shared" si="2"/>
        <v>0.28262226930980594</v>
      </c>
      <c r="J40" s="4">
        <f t="shared" si="3"/>
        <v>35386.017224690935</v>
      </c>
      <c r="K40" s="4">
        <f>J40/(1+DiscountRate)^(12/12)</f>
        <v>32169.106567900846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sheetProtection sheet="1" objects="1" scenarios="1"/>
  <mergeCells count="2">
    <mergeCell ref="A1:K1"/>
    <mergeCell ref="A2:K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8FE6-AB68-4122-A40C-CC2A28D3219D}">
  <sheetPr>
    <tabColor theme="3"/>
  </sheetPr>
  <dimension ref="A1:Y54"/>
  <sheetViews>
    <sheetView workbookViewId="0">
      <selection activeCell="T49" sqref="T49"/>
    </sheetView>
  </sheetViews>
  <sheetFormatPr defaultRowHeight="15" x14ac:dyDescent="0.25"/>
  <cols>
    <col min="1" max="1" width="15.28515625" customWidth="1"/>
    <col min="2" max="3" width="18.140625" customWidth="1"/>
    <col min="4" max="4" width="17.140625" customWidth="1"/>
    <col min="5" max="5" width="15.28515625" customWidth="1"/>
    <col min="6" max="7" width="17.140625" customWidth="1"/>
    <col min="8" max="8" width="20" customWidth="1"/>
    <col min="9" max="9" width="19" customWidth="1"/>
    <col min="10" max="11" width="20" customWidth="1"/>
  </cols>
  <sheetData>
    <row r="1" spans="1:25" ht="24" x14ac:dyDescent="0.4">
      <c r="A1" s="83" t="s">
        <v>73</v>
      </c>
      <c r="B1" s="83"/>
      <c r="C1" s="83"/>
      <c r="D1" s="83"/>
      <c r="E1" s="83"/>
      <c r="F1" s="83"/>
      <c r="G1" s="83"/>
      <c r="H1" s="83"/>
      <c r="I1" s="84"/>
      <c r="J1" s="84"/>
      <c r="K1" s="8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3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" t="s">
        <v>21</v>
      </c>
      <c r="B4" s="1" t="s">
        <v>75</v>
      </c>
      <c r="C4" s="1" t="s">
        <v>76</v>
      </c>
      <c r="D4" s="1" t="s">
        <v>13</v>
      </c>
      <c r="E4" s="1" t="s">
        <v>77</v>
      </c>
      <c r="F4" s="1" t="s">
        <v>78</v>
      </c>
      <c r="G4" s="1" t="s">
        <v>79</v>
      </c>
      <c r="H4" s="1" t="s">
        <v>80</v>
      </c>
      <c r="I4" s="1" t="s">
        <v>81</v>
      </c>
      <c r="J4" s="1" t="s">
        <v>82</v>
      </c>
      <c r="K4" s="1" t="s">
        <v>83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3" cm="1">
        <f t="array" ref="A5">INDEX(tblActuals[Month],ROW()-3)</f>
        <v>45809</v>
      </c>
      <c r="B5" s="4">
        <f>INDEX(tblActuals[Revenue],2)</f>
        <v>125000</v>
      </c>
      <c r="C5" s="4">
        <f>INDEX(tblActuals[Volume],1)*(1+INDEX(tblAssumptions[Base],MATCH("Volume growth % (monthly)",tblAssumptions[Driver],0)))*INDEX(tblActuals[Price],1)*(1+INDEX(tblAssumptions[Base],MATCH("Price change % (monthly)",tblAssumptions[Driver],0)))</f>
        <v>122043.59999999999</v>
      </c>
      <c r="D5" s="4">
        <f t="shared" ref="D5:D11" si="0">B5-C5</f>
        <v>2956.4000000000087</v>
      </c>
      <c r="E5" s="5">
        <f t="shared" ref="E5:E11" si="1">D5/C5</f>
        <v>2.4224129737241518E-2</v>
      </c>
      <c r="F5" s="4">
        <f>INDEX(tblActuals[Revenue],2)-INDEX(tblActuals[COGS],2)-INDEX(tblActuals[OpEx],2)</f>
        <v>49500</v>
      </c>
      <c r="G5" s="4">
        <f>C5*(1-INDEX(tblAssumptions[Base],MATCH("COGS % of Revenue",tblAssumptions[Driver],0)))-INDEX(tblActuals[OpEx],1)*(1+INDEX(tblAssumptions[Base],MATCH("OpEx monthly change %",tblAssumptions[Driver],0)))</f>
        <v>48101.159999999989</v>
      </c>
      <c r="H5" s="4">
        <f>(INDEX(tblActuals[Volume],2)-INDEX(tblActuals[Volume],1)*(1+INDEX(tblAssumptions[Base],MATCH("Volume growth % (monthly)",tblAssumptions[Driver],0))))*INDEX(tblActuals[Price],1)</f>
        <v>2200.0000000000182</v>
      </c>
      <c r="I5" s="4">
        <f>(INDEX(tblActuals[Price],2)-INDEX(tblActuals[Price],1)*(1+INDEX(tblAssumptions[Base],MATCH("Price change % (monthly)",tblAssumptions[Driver],0))))*INDEX(tblActuals[Volume],2)</f>
        <v>744.00000000000614</v>
      </c>
      <c r="J5" s="4">
        <f>-(INDEX(tblActuals[COGS],2)-B5*INDEX(tblAssumptions[Base],MATCH("COGS % of Revenue",tblAssumptions[Driver],0)))</f>
        <v>0</v>
      </c>
      <c r="K5" s="4">
        <f>-(INDEX(tblActuals[OpEx],2)-INDEX(tblActuals[OpEx],1)*(1+INDEX(tblAssumptions[Base],MATCH("OpEx monthly change %",tblAssumptions[Driver],0))))</f>
        <v>-375.00000000000364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3" cm="1">
        <f t="array" ref="A6">INDEX(tblActuals[Month],ROW()-3)</f>
        <v>45839</v>
      </c>
      <c r="B6" s="4">
        <f>INDEX(tblActuals[Revenue],3)</f>
        <v>130500</v>
      </c>
      <c r="C6" s="4">
        <f>INDEX(tblActuals[Volume],2)*(1+INDEX(tblAssumptions[Base],MATCH("Volume growth % (monthly)",tblAssumptions[Driver],0)))*INDEX(tblActuals[Price],2)*(1+INDEX(tblAssumptions[Base],MATCH("Price change % (monthly)",tblAssumptions[Driver],0)))</f>
        <v>127120.61375999998</v>
      </c>
      <c r="D6" s="4">
        <f t="shared" si="0"/>
        <v>3379.3862400000216</v>
      </c>
      <c r="E6" s="5">
        <f t="shared" si="1"/>
        <v>2.6584093169815907E-2</v>
      </c>
      <c r="F6" s="4">
        <f>INDEX(tblActuals[Revenue],3)-INDEX(tblActuals[COGS],3)-INDEX(tblActuals[OpEx],3)</f>
        <v>52500</v>
      </c>
      <c r="G6" s="4">
        <f>C6*(1-INDEX(tblAssumptions[Base],MATCH("COGS % of Revenue",tblAssumptions[Driver],0)))-INDEX(tblActuals[OpEx],2)*(1+INDEX(tblAssumptions[Base],MATCH("OpEx monthly change %",tblAssumptions[Driver],0)))</f>
        <v>50644.868255999987</v>
      </c>
      <c r="H6" s="4">
        <f>(INDEX(tblActuals[Volume],3)-INDEX(tblActuals[Volume],2)*(1+INDEX(tblAssumptions[Base],MATCH("Volume growth % (monthly)",tblAssumptions[Driver],0))))*INDEX(tblActuals[Price],2)</f>
        <v>2157.1200000000185</v>
      </c>
      <c r="I6" s="4">
        <f>(INDEX(tblActuals[Price],3)-INDEX(tblActuals[Price],2)*(1+INDEX(tblAssumptions[Base],MATCH("Price change % (monthly)",tblAssumptions[Driver],0))))*INDEX(tblActuals[Volume],3)</f>
        <v>1213.9519999999948</v>
      </c>
      <c r="J6" s="4">
        <f>-(INDEX(tblActuals[COGS],3)-B6*INDEX(tblAssumptions[Base],MATCH("COGS % of Revenue",tblAssumptions[Driver],0)))</f>
        <v>200</v>
      </c>
      <c r="K6" s="4">
        <f>-(INDEX(tblActuals[OpEx],3)-INDEX(tblActuals[OpEx],2)*(1+INDEX(tblAssumptions[Base],MATCH("OpEx monthly change %",tblAssumptions[Driver],0))))</f>
        <v>-372.50000000000364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3" cm="1">
        <f t="array" ref="A7">INDEX(tblActuals[Month],ROW()-3)</f>
        <v>45870</v>
      </c>
      <c r="B7" s="4">
        <f>INDEX(tblActuals[Revenue],4)</f>
        <v>128000</v>
      </c>
      <c r="C7" s="4">
        <f>INDEX(tblActuals[Volume],3)*(1+INDEX(tblAssumptions[Base],MATCH("Volume growth % (monthly)",tblAssumptions[Driver],0)))*INDEX(tblActuals[Price],3)*(1+INDEX(tblAssumptions[Base],MATCH("Price change % (monthly)",tblAssumptions[Driver],0)))</f>
        <v>132718.34687999997</v>
      </c>
      <c r="D7" s="4">
        <f t="shared" si="0"/>
        <v>-4718.3468799999682</v>
      </c>
      <c r="E7" s="5">
        <f t="shared" si="1"/>
        <v>-3.5551579649090712E-2</v>
      </c>
      <c r="F7" s="4">
        <f>INDEX(tblActuals[Revenue],4)-INDEX(tblActuals[COGS],4)-INDEX(tblActuals[OpEx],4)</f>
        <v>51200</v>
      </c>
      <c r="G7" s="4">
        <f>C7*(1-INDEX(tblAssumptions[Base],MATCH("COGS % of Revenue",tblAssumptions[Driver],0)))-INDEX(tblActuals[OpEx],3)*(1+INDEX(tblAssumptions[Base],MATCH("OpEx monthly change %",tblAssumptions[Driver],0)))</f>
        <v>53501.008127999972</v>
      </c>
      <c r="H7" s="4">
        <f>(INDEX(tblActuals[Volume],4)-INDEX(tblActuals[Volume],3)*(1+INDEX(tblAssumptions[Base],MATCH("Volume growth % (monthly)",tblAssumptions[Driver],0))))*INDEX(tblActuals[Price],3)</f>
        <v>-3996.4399999999814</v>
      </c>
      <c r="I7" s="4">
        <f>(INDEX(tblActuals[Price],4)-INDEX(tblActuals[Price],3)*(1+INDEX(tblAssumptions[Base],MATCH("Price change % (monthly)",tblAssumptions[Driver],0))))*INDEX(tblActuals[Volume],4)</f>
        <v>-729.41400000000556</v>
      </c>
      <c r="J7" s="4">
        <f>-(INDEX(tblActuals[COGS],4)-B7*INDEX(tblAssumptions[Base],MATCH("COGS % of Revenue",tblAssumptions[Driver],0)))</f>
        <v>200</v>
      </c>
      <c r="K7" s="4">
        <f>-(INDEX(tblActuals[OpEx],4)-INDEX(tblActuals[OpEx],3)*(1+INDEX(tblAssumptions[Base],MATCH("OpEx monthly change %",tblAssumptions[Driver],0))))</f>
        <v>329.99999999999636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3" cm="1">
        <f t="array" ref="A8">INDEX(tblActuals[Month],ROW()-3)</f>
        <v>45901</v>
      </c>
      <c r="B8" s="4">
        <f>INDEX(tblActuals[Revenue],5)</f>
        <v>135000</v>
      </c>
      <c r="C8" s="4">
        <f>INDEX(tblActuals[Volume],4)*(1+INDEX(tblAssumptions[Base],MATCH("Volume growth % (monthly)",tblAssumptions[Driver],0)))*INDEX(tblActuals[Price],4)*(1+INDEX(tblAssumptions[Base],MATCH("Price change % (monthly)",tblAssumptions[Driver],0)))</f>
        <v>130164.07603499999</v>
      </c>
      <c r="D8" s="4">
        <f t="shared" si="0"/>
        <v>4835.923965000009</v>
      </c>
      <c r="E8" s="5">
        <f t="shared" si="1"/>
        <v>3.7152524047415904E-2</v>
      </c>
      <c r="F8" s="4">
        <f>INDEX(tblActuals[Revenue],5)-INDEX(tblActuals[COGS],5)-INDEX(tblActuals[OpEx],5)</f>
        <v>54500</v>
      </c>
      <c r="G8" s="4">
        <f>C8*(1-INDEX(tblAssumptions[Base],MATCH("COGS % of Revenue",tblAssumptions[Driver],0)))-INDEX(tblActuals[OpEx],4)*(1+INDEX(tblAssumptions[Base],MATCH("OpEx monthly change %",tblAssumptions[Driver],0)))</f>
        <v>52169.445620999992</v>
      </c>
      <c r="H8" s="4">
        <f>(INDEX(tblActuals[Volume],5)-INDEX(tblActuals[Volume],4)*(1+INDEX(tblAssumptions[Base],MATCH("Volume growth % (monthly)",tblAssumptions[Driver],0))))*INDEX(tblActuals[Price],4)</f>
        <v>4174.7325000000192</v>
      </c>
      <c r="I8" s="4">
        <f>(INDEX(tblActuals[Price],5)-INDEX(tblActuals[Price],4)*(1+INDEX(tblAssumptions[Base],MATCH("Price change % (monthly)",tblAssumptions[Driver],0))))*INDEX(tblActuals[Volume],5)</f>
        <v>655.84199999997918</v>
      </c>
      <c r="J8" s="4">
        <f>-(INDEX(tblActuals[COGS],5)-B8*INDEX(tblAssumptions[Base],MATCH("COGS % of Revenue",tblAssumptions[Driver],0)))</f>
        <v>0</v>
      </c>
      <c r="K8" s="4">
        <f>-(INDEX(tblActuals[OpEx],5)-INDEX(tblActuals[OpEx],4)*(1+INDEX(tblAssumptions[Base],MATCH("OpEx monthly change %",tblAssumptions[Driver],0))))</f>
        <v>-571.00000000000364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3" cm="1">
        <f t="array" ref="A9">INDEX(tblActuals[Month],ROW()-3)</f>
        <v>45931</v>
      </c>
      <c r="B9" s="4">
        <f>INDEX(tblActuals[Revenue],6)</f>
        <v>140000</v>
      </c>
      <c r="C9" s="4">
        <f>INDEX(tblActuals[Volume],5)*(1+INDEX(tblAssumptions[Base],MATCH("Volume growth % (monthly)",tblAssumptions[Driver],0)))*INDEX(tblActuals[Price],5)*(1+INDEX(tblAssumptions[Base],MATCH("Price change % (monthly)",tblAssumptions[Driver],0)))</f>
        <v>137302.10108999998</v>
      </c>
      <c r="D9" s="4">
        <f t="shared" si="0"/>
        <v>2697.8989100000181</v>
      </c>
      <c r="E9" s="5">
        <f t="shared" si="1"/>
        <v>1.9649363619217857E-2</v>
      </c>
      <c r="F9" s="4">
        <f>INDEX(tblActuals[Revenue],6)-INDEX(tblActuals[COGS],6)-INDEX(tblActuals[OpEx],6)</f>
        <v>57000</v>
      </c>
      <c r="G9" s="4">
        <f>C9*(1-INDEX(tblAssumptions[Base],MATCH("COGS % of Revenue",tblAssumptions[Driver],0)))-INDEX(tblActuals[OpEx],5)*(1+INDEX(tblAssumptions[Base],MATCH("OpEx monthly change %",tblAssumptions[Driver],0)))</f>
        <v>55748.760653999983</v>
      </c>
      <c r="H9" s="4">
        <f>(INDEX(tblActuals[Volume],6)-INDEX(tblActuals[Volume],5)*(1+INDEX(tblAssumptions[Base],MATCH("Volume growth % (monthly)",tblAssumptions[Driver],0))))*INDEX(tblActuals[Price],5)</f>
        <v>2065.9550000000186</v>
      </c>
      <c r="I9" s="4">
        <f>(INDEX(tblActuals[Price],6)-INDEX(tblActuals[Price],5)*(1+INDEX(tblAssumptions[Base],MATCH("Price change % (monthly)",tblAssumptions[Driver],0))))*INDEX(tblActuals[Volume],6)</f>
        <v>639.81200000000911</v>
      </c>
      <c r="J9" s="4">
        <f>-(INDEX(tblActuals[COGS],6)-B9*INDEX(tblAssumptions[Base],MATCH("COGS % of Revenue",tblAssumptions[Driver],0)))</f>
        <v>0</v>
      </c>
      <c r="K9" s="4">
        <f>-(INDEX(tblActuals[OpEx],6)-INDEX(tblActuals[OpEx],5)*(1+INDEX(tblAssumptions[Base],MATCH("OpEx monthly change %",tblAssumptions[Driver],0))))</f>
        <v>-367.50000000000364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3" cm="1">
        <f t="array" ref="A10">INDEX(tblActuals[Month],ROW()-3)</f>
        <v>45962</v>
      </c>
      <c r="B10" s="4">
        <f>INDEX(tblActuals[Revenue],7)</f>
        <v>142500</v>
      </c>
      <c r="C10" s="4">
        <f>INDEX(tblActuals[Volume],6)*(1+INDEX(tblAssumptions[Base],MATCH("Volume growth % (monthly)",tblAssumptions[Driver],0)))*INDEX(tblActuals[Price],6)*(1+INDEX(tblAssumptions[Base],MATCH("Price change % (monthly)",tblAssumptions[Driver],0)))</f>
        <v>142396.40435999999</v>
      </c>
      <c r="D10" s="4">
        <f t="shared" si="0"/>
        <v>103.5956400000141</v>
      </c>
      <c r="E10" s="5">
        <f t="shared" si="1"/>
        <v>7.2751584188957756E-4</v>
      </c>
      <c r="F10" s="4">
        <f>INDEX(tblActuals[Revenue],7)-INDEX(tblActuals[COGS],7)-INDEX(tblActuals[OpEx],7)</f>
        <v>58250</v>
      </c>
      <c r="G10" s="4">
        <f>C10*(1-INDEX(tblAssumptions[Base],MATCH("COGS % of Revenue",tblAssumptions[Driver],0)))-INDEX(tblActuals[OpEx],6)*(1+INDEX(tblAssumptions[Base],MATCH("OpEx monthly change %",tblAssumptions[Driver],0)))</f>
        <v>58302.842615999994</v>
      </c>
      <c r="H10" s="4">
        <f>(INDEX(tblActuals[Volume],7)-INDEX(tblActuals[Volume],6)*(1+INDEX(tblAssumptions[Base],MATCH("Volume growth % (monthly)",tblAssumptions[Driver],0))))*INDEX(tblActuals[Price],6)</f>
        <v>-41.17999999998127</v>
      </c>
      <c r="I10" s="4">
        <f>(INDEX(tblActuals[Price],7)-INDEX(tblActuals[Price],6)*(1+INDEX(tblAssumptions[Base],MATCH("Price change % (monthly)",tblAssumptions[Driver],0))))*INDEX(tblActuals[Volume],7)</f>
        <v>129.85799999998662</v>
      </c>
      <c r="J10" s="4">
        <f>-(INDEX(tblActuals[COGS],7)-B10*INDEX(tblAssumptions[Base],MATCH("COGS % of Revenue",tblAssumptions[Driver],0)))</f>
        <v>0</v>
      </c>
      <c r="K10" s="4">
        <f>-(INDEX(tblActuals[OpEx],7)-INDEX(tblActuals[OpEx],6)*(1+INDEX(tblAssumptions[Base],MATCH("OpEx monthly change %",tblAssumptions[Driver],0))))</f>
        <v>-115.00000000000364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3" cm="1">
        <f t="array" ref="A11">INDEX(tblActuals[Month],ROW()-3)</f>
        <v>45992</v>
      </c>
      <c r="B11" s="4">
        <f>INDEX(tblActuals[Revenue],8)</f>
        <v>150000</v>
      </c>
      <c r="C11" s="4">
        <f>INDEX(tblActuals[Volume],7)*(1+INDEX(tblAssumptions[Base],MATCH("Volume growth % (monthly)",tblAssumptions[Driver],0)))*INDEX(tblActuals[Price],7)*(1+INDEX(tblAssumptions[Base],MATCH("Price change % (monthly)",tblAssumptions[Driver],0)))</f>
        <v>144911.51954999997</v>
      </c>
      <c r="D11" s="4">
        <f t="shared" si="0"/>
        <v>5088.4804500000319</v>
      </c>
      <c r="E11" s="5">
        <f t="shared" si="1"/>
        <v>3.5114395776136439E-2</v>
      </c>
      <c r="F11" s="4">
        <f>INDEX(tblActuals[Revenue],8)-INDEX(tblActuals[COGS],8)-INDEX(tblActuals[OpEx],8)</f>
        <v>62000</v>
      </c>
      <c r="G11" s="4">
        <f>C11*(1-INDEX(tblAssumptions[Base],MATCH("COGS % of Revenue",tblAssumptions[Driver],0)))-INDEX(tblActuals[OpEx],7)*(1+INDEX(tblAssumptions[Base],MATCH("OpEx monthly change %",tblAssumptions[Driver],0)))</f>
        <v>59560.661729999978</v>
      </c>
      <c r="H11" s="4">
        <f>(INDEX(tblActuals[Volume],8)-INDEX(tblActuals[Volume],7)*(1+INDEX(tblAssumptions[Base],MATCH("Volume growth % (monthly)",tblAssumptions[Driver],0))))*INDEX(tblActuals[Price],7)</f>
        <v>4057.7250000000186</v>
      </c>
      <c r="I11" s="4">
        <f>(INDEX(tblActuals[Price],8)-INDEX(tblActuals[Price],7)*(1+INDEX(tblAssumptions[Base],MATCH("Price change % (monthly)",tblAssumptions[Driver],0))))*INDEX(tblActuals[Volume],8)</f>
        <v>1034.6400000000187</v>
      </c>
      <c r="J11" s="4">
        <f>-(INDEX(tblActuals[COGS],8)-B11*INDEX(tblAssumptions[Base],MATCH("COGS % of Revenue",tblAssumptions[Driver],0)))</f>
        <v>0</v>
      </c>
      <c r="K11" s="4">
        <f>-(INDEX(tblActuals[OpEx],8)-INDEX(tblActuals[OpEx],7)*(1+INDEX(tblAssumptions[Base],MATCH("OpEx monthly change %",tblAssumptions[Driver],0))))</f>
        <v>-613.75000000000364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sheetProtection sheet="1" objects="1" scenarios="1"/>
  <mergeCells count="2">
    <mergeCell ref="A1:K1"/>
    <mergeCell ref="A2:K2"/>
  </mergeCells>
  <conditionalFormatting sqref="D5:D11">
    <cfRule type="cellIs" priority="1" operator="between"/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306F5-4388-4D1E-808E-9C7D10B34C10}">
  <sheetPr>
    <tabColor theme="3"/>
  </sheetPr>
  <dimension ref="A1:Y54"/>
  <sheetViews>
    <sheetView workbookViewId="0">
      <selection activeCell="T49" sqref="T49"/>
    </sheetView>
  </sheetViews>
  <sheetFormatPr defaultRowHeight="15" x14ac:dyDescent="0.25"/>
  <cols>
    <col min="1" max="1" width="28.5703125" customWidth="1"/>
    <col min="2" max="4" width="15.28515625" customWidth="1"/>
    <col min="5" max="6" width="18.140625" customWidth="1"/>
  </cols>
  <sheetData>
    <row r="1" spans="1:25" ht="24" x14ac:dyDescent="0.4">
      <c r="A1" s="83" t="s">
        <v>84</v>
      </c>
      <c r="B1" s="83"/>
      <c r="C1" s="83"/>
      <c r="D1" s="83"/>
      <c r="E1" s="83"/>
      <c r="F1" s="8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3" t="s">
        <v>85</v>
      </c>
      <c r="B2" s="33"/>
      <c r="C2" s="33"/>
      <c r="D2" s="33"/>
      <c r="E2" s="33"/>
      <c r="F2" s="3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" t="s">
        <v>29</v>
      </c>
      <c r="B4" s="1" t="s">
        <v>86</v>
      </c>
      <c r="C4" s="1" t="s">
        <v>87</v>
      </c>
      <c r="D4" s="1" t="s">
        <v>88</v>
      </c>
      <c r="E4" s="1" t="s">
        <v>89</v>
      </c>
      <c r="F4" s="1" t="s">
        <v>90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2" t="s">
        <v>91</v>
      </c>
      <c r="B5" s="5">
        <f>rngVolumeGrowth</f>
        <v>1.4999999999999999E-2</v>
      </c>
      <c r="C5" s="5">
        <v>-0.01</v>
      </c>
      <c r="D5" s="5">
        <v>0.03</v>
      </c>
      <c r="E5" s="4" cm="1">
        <f t="array" ref="E5">SUMPRODUCT((tblForecast[Scenario]=SelectedScenario)*tblForecast[Revenue]*(((1+$C5)/(1+$B5))^(MONTH(tblForecast[Month])-MONTH(StartMonth)+1)-1)*(1-rngCOGSpct))</f>
        <v>-182035.60935408261</v>
      </c>
      <c r="F5" s="4" cm="1">
        <f t="array" ref="F5">SUMPRODUCT((tblForecast[Scenario]=SelectedScenario)*tblForecast[Revenue]*(((1+$D5)/(1+$B5))^(MONTH(tblForecast[Month])-MONTH(StartMonth)+1)-1)*(1-rngCOGSpct))</f>
        <v>126432.75092502088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2" t="s">
        <v>92</v>
      </c>
      <c r="B6" s="5">
        <f>rngPriceChange</f>
        <v>2E-3</v>
      </c>
      <c r="C6" s="5">
        <v>-5.0000000000000001E-3</v>
      </c>
      <c r="D6" s="5">
        <v>5.0000000000000001E-3</v>
      </c>
      <c r="E6" s="4" cm="1">
        <f t="array" ref="E6">SUMPRODUCT((tblForecast[Scenario]=SelectedScenario)*tblForecast[Revenue]*(((1+$C6)/(1+$B6))^(MONTH(tblForecast[Month])-MONTH(StartMonth)+1)-1)*(1-rngCOGSpct))</f>
        <v>-55074.85289167126</v>
      </c>
      <c r="F6" s="4" cm="1">
        <f t="array" ref="F6">SUMPRODUCT((tblForecast[Scenario]=SelectedScenario)*tblForecast[Revenue]*(((1+$D6)/(1+$B6))^(MONTH(tblForecast[Month])-MONTH(StartMonth)+1)-1)*(1-rngCOGSpct))</f>
        <v>24498.229938249402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2" t="s">
        <v>37</v>
      </c>
      <c r="B7" s="5">
        <f>rngCOGSpct</f>
        <v>0.4</v>
      </c>
      <c r="C7" s="5">
        <v>0.38</v>
      </c>
      <c r="D7" s="5">
        <v>0.45</v>
      </c>
      <c r="E7" s="4">
        <f>-SUMIFS(tblForecast[Revenue],tblForecast[Scenario],SelectedScenario)*($C7-$B7)</f>
        <v>40248.004048173156</v>
      </c>
      <c r="F7" s="4">
        <f>-SUMIFS(tblForecast[Revenue],tblForecast[Scenario],SelectedScenario)*($D7-$B7)</f>
        <v>-100620.01012043278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2" t="s">
        <v>93</v>
      </c>
      <c r="B8" s="5">
        <f>rngOpExChange</f>
        <v>5.0000000000000001E-3</v>
      </c>
      <c r="C8" s="5">
        <v>2E-3</v>
      </c>
      <c r="D8" s="5">
        <v>1.4999999999999999E-2</v>
      </c>
      <c r="E8" s="4" cm="1">
        <f t="array" ref="E8">-SUMPRODUCT((tblForecast[Scenario]=SelectedScenario)*tblForecast[OpEx]*(((1+$C8)/(1+$B8))^(MONTH(tblForecast[Month])-MONTH(StartMonth)+1)-1))</f>
        <v>6722.5324352867392</v>
      </c>
      <c r="F8" s="4" cm="1">
        <f t="array" ref="F8">-SUMPRODUCT((tblForecast[Scenario]=SelectedScenario)*tblForecast[OpEx]*(((1+$D8)/(1+$B8))^(MONTH(tblForecast[Month])-MONTH(StartMonth)+1)-1))</f>
        <v>-23508.503689051831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</sheetData>
  <sheetProtection sheet="1" objects="1" scenarios="1"/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398F-E08D-49A9-B693-FAEE122ABF6E}">
  <sheetPr>
    <tabColor theme="3"/>
  </sheetPr>
  <dimension ref="A1:AA54"/>
  <sheetViews>
    <sheetView workbookViewId="0">
      <selection activeCell="T49" sqref="T49"/>
    </sheetView>
  </sheetViews>
  <sheetFormatPr defaultRowHeight="15" x14ac:dyDescent="0.25"/>
  <cols>
    <col min="1" max="1" width="24.7109375" customWidth="1"/>
    <col min="2" max="2" width="19" customWidth="1"/>
    <col min="3" max="3" width="11.42578125" customWidth="1"/>
    <col min="4" max="4" width="20.140625" bestFit="1" customWidth="1"/>
    <col min="5" max="6" width="17.140625" customWidth="1"/>
    <col min="7" max="13" width="11.42578125" customWidth="1"/>
    <col min="14" max="14" width="15.28515625" customWidth="1"/>
    <col min="15" max="15" width="18.140625" customWidth="1"/>
    <col min="16" max="16" width="19" customWidth="1"/>
    <col min="17" max="17" width="17.140625" customWidth="1"/>
    <col min="18" max="18" width="11.42578125" customWidth="1"/>
    <col min="19" max="19" width="15.28515625" customWidth="1"/>
    <col min="20" max="22" width="17.140625" customWidth="1"/>
    <col min="23" max="23" width="11.42578125" customWidth="1"/>
    <col min="24" max="24" width="17.140625" customWidth="1"/>
    <col min="25" max="25" width="19" customWidth="1"/>
  </cols>
  <sheetData>
    <row r="1" spans="1:27" ht="24" x14ac:dyDescent="0.4">
      <c r="A1" s="83" t="s">
        <v>44</v>
      </c>
      <c r="B1" s="83"/>
      <c r="C1" s="83"/>
      <c r="D1" s="83"/>
      <c r="E1" s="83"/>
      <c r="F1" s="83"/>
      <c r="G1" s="83"/>
      <c r="H1" s="83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3"/>
      <c r="AA1" s="83"/>
    </row>
    <row r="2" spans="1:27" x14ac:dyDescent="0.25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85"/>
      <c r="AA2" s="85"/>
    </row>
    <row r="3" spans="1:2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5">
      <c r="A4" s="16" t="s">
        <v>46</v>
      </c>
      <c r="B4" s="16" t="s">
        <v>47</v>
      </c>
      <c r="C4" s="2"/>
      <c r="D4" s="16" t="s">
        <v>29</v>
      </c>
      <c r="E4" s="16" t="s">
        <v>89</v>
      </c>
      <c r="F4" s="16" t="s">
        <v>90</v>
      </c>
      <c r="G4" s="2"/>
      <c r="H4" s="2"/>
      <c r="I4" s="2"/>
      <c r="J4" s="2"/>
      <c r="K4" s="2"/>
      <c r="L4" s="2"/>
      <c r="M4" s="2"/>
      <c r="N4" s="10" t="s">
        <v>21</v>
      </c>
      <c r="O4" s="10" t="s">
        <v>94</v>
      </c>
      <c r="P4" s="10" t="s">
        <v>95</v>
      </c>
      <c r="Q4" s="10" t="s">
        <v>96</v>
      </c>
      <c r="R4" s="2"/>
      <c r="S4" s="10" t="s">
        <v>21</v>
      </c>
      <c r="T4" s="10" t="s">
        <v>31</v>
      </c>
      <c r="U4" s="10" t="s">
        <v>32</v>
      </c>
      <c r="V4" s="10" t="s">
        <v>33</v>
      </c>
      <c r="W4" s="2"/>
      <c r="X4" s="10" t="s">
        <v>29</v>
      </c>
      <c r="Y4" s="10" t="s">
        <v>97</v>
      </c>
      <c r="Z4" s="2"/>
      <c r="AA4" s="2"/>
    </row>
    <row r="5" spans="1:27" x14ac:dyDescent="0.25">
      <c r="A5" s="13" t="s">
        <v>48</v>
      </c>
      <c r="B5" s="18">
        <v>46023</v>
      </c>
      <c r="C5" s="2"/>
      <c r="D5" s="13" t="s">
        <v>91</v>
      </c>
      <c r="E5" s="17">
        <f>Sensitivity!E5</f>
        <v>-182035.60935408261</v>
      </c>
      <c r="F5" s="17">
        <f>Sensitivity!F5</f>
        <v>126432.75092502088</v>
      </c>
      <c r="G5" s="2"/>
      <c r="H5" s="2"/>
      <c r="I5" s="2"/>
      <c r="J5" s="2"/>
      <c r="K5" s="2"/>
      <c r="L5" s="2"/>
      <c r="M5" s="2"/>
      <c r="N5" s="21">
        <f>EDATE(StartMonth,0)</f>
        <v>46023</v>
      </c>
      <c r="O5" s="22">
        <f>SUMIFS(tblForecast[Revenue],tblForecast[Scenario],SelectedScenario,tblForecast[Month],N5)*((1+rngVolumeGrowth*Slider_Volume)/(1+rngVolumeGrowth))^1*((1+rngPriceChange*Slider_Price)/(1+rngPriceChange))^1</f>
        <v>152566.70435999997</v>
      </c>
      <c r="P5" s="22">
        <f>O5*(1-rngCOGSpct*Slider_COGS)-SUMIFS(tblForecast[OpEx],tblForecast[Scenario],SelectedScenario,tblForecast[Month],N5)</f>
        <v>63400.022615999987</v>
      </c>
      <c r="Q5" s="23">
        <f t="shared" ref="Q5:Q16" si="0">P5/O5</f>
        <v>0.41555608664391025</v>
      </c>
      <c r="R5" s="2"/>
      <c r="S5" s="21">
        <f>EDATE(StartMonth,0)</f>
        <v>46023</v>
      </c>
      <c r="T5" s="22">
        <f>SUMIFS(tblForecast[Revenue],tblForecast[Scenario],"Base",tblForecast[Month],S5)</f>
        <v>152566.70435999997</v>
      </c>
      <c r="U5" s="22">
        <f>SUMIFS(tblForecast[Revenue],tblForecast[Scenario],"Opt",tblForecast[Month],S5)</f>
        <v>155284.92179999998</v>
      </c>
      <c r="V5" s="22">
        <f>SUMIFS(tblForecast[Revenue],tblForecast[Scenario],"Stress",tblForecast[Month],S5)</f>
        <v>147769.32060000001</v>
      </c>
      <c r="W5" s="2"/>
      <c r="X5" s="24" t="s">
        <v>23</v>
      </c>
      <c r="Y5" s="22">
        <f>Variance!H11</f>
        <v>4057.7250000000186</v>
      </c>
      <c r="Z5" s="2"/>
      <c r="AA5" s="2"/>
    </row>
    <row r="6" spans="1:27" x14ac:dyDescent="0.25">
      <c r="A6" s="13" t="s">
        <v>49</v>
      </c>
      <c r="B6" s="13">
        <v>1</v>
      </c>
      <c r="C6" s="2"/>
      <c r="D6" s="13" t="s">
        <v>92</v>
      </c>
      <c r="E6" s="17">
        <f>Sensitivity!E6</f>
        <v>-55074.85289167126</v>
      </c>
      <c r="F6" s="17">
        <f>Sensitivity!F6</f>
        <v>24498.229938249402</v>
      </c>
      <c r="G6" s="2"/>
      <c r="H6" s="2"/>
      <c r="I6" s="2"/>
      <c r="J6" s="2"/>
      <c r="K6" s="2"/>
      <c r="L6" s="2"/>
      <c r="M6" s="2"/>
      <c r="N6" s="21">
        <f>EDATE(StartMonth,1)</f>
        <v>46054</v>
      </c>
      <c r="O6" s="22">
        <f>SUMIFS(tblForecast[Revenue],tblForecast[Scenario],SelectedScenario,tblForecast[Month],N6)*((1+rngVolumeGrowth*Slider_Volume)/(1+rngVolumeGrowth))^2*((1+rngPriceChange*Slider_Price)/(1+rngPriceChange))^2</f>
        <v>155164.91533525076</v>
      </c>
      <c r="P6" s="22">
        <f>O6*(1-rngCOGSpct*Slider_COGS)-SUMIFS(tblForecast[OpEx],tblForecast[Scenario],SelectedScenario,tblForecast[Month],N6)</f>
        <v>64818.249201150451</v>
      </c>
      <c r="Q6" s="23">
        <f t="shared" si="0"/>
        <v>0.41773779247134274</v>
      </c>
      <c r="R6" s="2"/>
      <c r="S6" s="21">
        <f>EDATE(StartMonth,1)</f>
        <v>46054</v>
      </c>
      <c r="T6" s="22">
        <f>SUMIFS(tblForecast[Revenue],tblForecast[Scenario],"Base",tblForecast[Month],S6)</f>
        <v>155164.91533525076</v>
      </c>
      <c r="U6" s="22">
        <f>SUMIFS(tblForecast[Revenue],tblForecast[Scenario],"Opt",tblForecast[Month],S6)</f>
        <v>160743.18680126997</v>
      </c>
      <c r="V6" s="22">
        <f>SUMIFS(tblForecast[Revenue],tblForecast[Scenario],"Stress",tblForecast[Month],S6)</f>
        <v>145560.16925703001</v>
      </c>
      <c r="W6" s="2"/>
      <c r="X6" s="24" t="s">
        <v>24</v>
      </c>
      <c r="Y6" s="22">
        <f>Variance!I11</f>
        <v>1034.6400000000187</v>
      </c>
      <c r="Z6" s="2"/>
      <c r="AA6" s="2"/>
    </row>
    <row r="7" spans="1:27" x14ac:dyDescent="0.25">
      <c r="A7" s="13" t="s">
        <v>50</v>
      </c>
      <c r="B7" s="13">
        <f>INDEX(tblAssumptions[[Base]:[Stress]],MATCH("Volume growth % (monthly)",tblAssumptions[Driver],0),MATCH(SelectedScenario,{"Base","Opt","Stress"},0))</f>
        <v>1.4999999999999999E-2</v>
      </c>
      <c r="C7" s="2"/>
      <c r="D7" s="13" t="s">
        <v>37</v>
      </c>
      <c r="E7" s="17">
        <f>Sensitivity!E7</f>
        <v>40248.004048173156</v>
      </c>
      <c r="F7" s="17">
        <f>Sensitivity!F7</f>
        <v>-100620.01012043278</v>
      </c>
      <c r="G7" s="2"/>
      <c r="H7" s="2"/>
      <c r="I7" s="2"/>
      <c r="J7" s="2"/>
      <c r="K7" s="2"/>
      <c r="L7" s="2"/>
      <c r="M7" s="2"/>
      <c r="N7" s="21">
        <f>EDATE(StartMonth,2)</f>
        <v>46082</v>
      </c>
      <c r="O7" s="22">
        <f>SUMIFS(tblForecast[Revenue],tblForecast[Scenario],SelectedScenario,tblForecast[Month],N7)*((1+rngVolumeGrowth*Slider_Volume)/(1+rngVolumeGrowth))^3*((1+rngPriceChange*Slider_Price)/(1+rngPriceChange))^3</f>
        <v>157807.37384341005</v>
      </c>
      <c r="P7" s="22">
        <f>O7*(1-rngCOGSpct*Slider_COGS)-SUMIFS(tblForecast[OpEx],tblForecast[Scenario],SelectedScenario,tblForecast[Month],N7)</f>
        <v>66262.320806046046</v>
      </c>
      <c r="Q7" s="23">
        <f t="shared" si="0"/>
        <v>0.4198936918613016</v>
      </c>
      <c r="R7" s="2"/>
      <c r="S7" s="21">
        <f>EDATE(StartMonth,2)</f>
        <v>46082</v>
      </c>
      <c r="T7" s="22">
        <f>SUMIFS(tblForecast[Revenue],tblForecast[Scenario],"Base",tblForecast[Month],S7)</f>
        <v>157807.37384341005</v>
      </c>
      <c r="U7" s="22">
        <f>SUMIFS(tblForecast[Revenue],tblForecast[Scenario],"Opt",tblForecast[Month],S7)</f>
        <v>166393.30981733461</v>
      </c>
      <c r="V7" s="22">
        <f>SUMIFS(tblForecast[Revenue],tblForecast[Scenario],"Stress",tblForecast[Month],S7)</f>
        <v>143384.0447266374</v>
      </c>
      <c r="W7" s="2"/>
      <c r="X7" s="24" t="s">
        <v>25</v>
      </c>
      <c r="Y7" s="22">
        <f>Variance!J11</f>
        <v>0</v>
      </c>
      <c r="Z7" s="2"/>
      <c r="AA7" s="2"/>
    </row>
    <row r="8" spans="1:27" x14ac:dyDescent="0.25">
      <c r="A8" s="13" t="s">
        <v>51</v>
      </c>
      <c r="B8" s="19">
        <f>INDEX(tblAssumptions[[Base]:[Stress]],MATCH("Price change % (monthly)",tblAssumptions[Driver],0),MATCH(SelectedScenario,{"Base","Opt","Stress"},0))</f>
        <v>2E-3</v>
      </c>
      <c r="C8" s="2"/>
      <c r="D8" s="13" t="s">
        <v>93</v>
      </c>
      <c r="E8" s="17">
        <f>Sensitivity!E8</f>
        <v>6722.5324352867392</v>
      </c>
      <c r="F8" s="17">
        <f>Sensitivity!F8</f>
        <v>-23508.503689051831</v>
      </c>
      <c r="G8" s="2"/>
      <c r="H8" s="2"/>
      <c r="I8" s="2"/>
      <c r="J8" s="2"/>
      <c r="K8" s="2"/>
      <c r="L8" s="2"/>
      <c r="M8" s="2"/>
      <c r="N8" s="21">
        <f>EDATE(StartMonth,3)</f>
        <v>46113</v>
      </c>
      <c r="O8" s="22">
        <f>SUMIFS(tblForecast[Revenue],tblForecast[Scenario],SelectedScenario,tblForecast[Month],N8)*((1+rngVolumeGrowth*Slider_Volume)/(1+rngVolumeGrowth))^4*((1+rngPriceChange*Slider_Price)/(1+rngPriceChange))^4</f>
        <v>160494.83341996331</v>
      </c>
      <c r="P8" s="22">
        <f>O8*(1-rngCOGSpct*Slider_COGS)-SUMIFS(tblForecast[OpEx],tblForecast[Scenario],SelectedScenario,tblForecast[Month],N8)</f>
        <v>67732.686034477985</v>
      </c>
      <c r="Q8" s="23">
        <f t="shared" si="0"/>
        <v>0.42202409006677088</v>
      </c>
      <c r="R8" s="2"/>
      <c r="S8" s="21">
        <f>EDATE(StartMonth,3)</f>
        <v>46113</v>
      </c>
      <c r="T8" s="22">
        <f>SUMIFS(tblForecast[Revenue],tblForecast[Scenario],"Base",tblForecast[Month],S8)</f>
        <v>160494.83341996331</v>
      </c>
      <c r="U8" s="22">
        <f>SUMIFS(tblForecast[Revenue],tblForecast[Scenario],"Opt",tblForecast[Month],S8)</f>
        <v>172242.03465741393</v>
      </c>
      <c r="V8" s="22">
        <f>SUMIFS(tblForecast[Revenue],tblForecast[Scenario],"Stress",tblForecast[Month],S8)</f>
        <v>141240.45325797415</v>
      </c>
      <c r="W8" s="2"/>
      <c r="X8" s="24" t="s">
        <v>26</v>
      </c>
      <c r="Y8" s="22">
        <f>Variance!K11</f>
        <v>-613.75000000000364</v>
      </c>
      <c r="Z8" s="2"/>
      <c r="AA8" s="2"/>
    </row>
    <row r="9" spans="1:27" x14ac:dyDescent="0.25">
      <c r="A9" s="13" t="s">
        <v>52</v>
      </c>
      <c r="B9" s="19">
        <f>INDEX(tblAssumptions[[Base]:[Stress]],MATCH("COGS % of Revenue",tblAssumptions[Driver],0),MATCH(SelectedScenario,{"Base","Opt","Stress"},0))</f>
        <v>0.4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1">
        <f>EDATE(StartMonth,4)</f>
        <v>46143</v>
      </c>
      <c r="O9" s="22">
        <f>SUMIFS(tblForecast[Revenue],tblForecast[Scenario],SelectedScenario,tblForecast[Month],N9)*((1+rngVolumeGrowth*Slider_Volume)/(1+rngVolumeGrowth))^5*((1+rngPriceChange*Slider_Price)/(1+rngPriceChange))^5</f>
        <v>163228.06043310527</v>
      </c>
      <c r="P9" s="22">
        <f>O9*(1-rngCOGSpct*Slider_COGS)-SUMIFS(tblForecast[OpEx],tblForecast[Scenario],SelectedScenario,tblForecast[Month],N9)</f>
        <v>69229.801172275678</v>
      </c>
      <c r="Q9" s="23">
        <f t="shared" si="0"/>
        <v>0.42412928873003236</v>
      </c>
      <c r="R9" s="2"/>
      <c r="S9" s="21">
        <f>EDATE(StartMonth,4)</f>
        <v>46143</v>
      </c>
      <c r="T9" s="22">
        <f>SUMIFS(tblForecast[Revenue],tblForecast[Scenario],"Base",tblForecast[Month],S9)</f>
        <v>163228.06043310527</v>
      </c>
      <c r="U9" s="22">
        <f>SUMIFS(tblForecast[Revenue],tblForecast[Scenario],"Opt",tblForecast[Month],S9)</f>
        <v>178296.34217562203</v>
      </c>
      <c r="V9" s="22">
        <f>SUMIFS(tblForecast[Revenue],tblForecast[Scenario],"Stress",tblForecast[Month],S9)</f>
        <v>139128.90848176743</v>
      </c>
      <c r="W9" s="2"/>
      <c r="X9" s="24"/>
      <c r="Y9" s="24"/>
      <c r="Z9" s="2"/>
      <c r="AA9" s="2"/>
    </row>
    <row r="10" spans="1:27" x14ac:dyDescent="0.25">
      <c r="A10" s="13" t="s">
        <v>53</v>
      </c>
      <c r="B10" s="19">
        <f>INDEX(tblAssumptions[[Base]:[Stress]],MATCH("OpEx monthly change %",tblAssumptions[Driver],0),MATCH(SelectedScenario,{"Base","Opt","Stress"},0))</f>
        <v>5.0000000000000001E-3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1">
        <f>EDATE(StartMonth,5)</f>
        <v>46174</v>
      </c>
      <c r="O10" s="22">
        <f>SUMIFS(tblForecast[Revenue],tblForecast[Scenario],SelectedScenario,tblForecast[Month],N10)*((1+rngVolumeGrowth*Slider_Volume)/(1+rngVolumeGrowth))^6*((1+rngPriceChange*Slider_Price)/(1+rngPriceChange))^6</f>
        <v>166007.83430228103</v>
      </c>
      <c r="P10" s="22">
        <f>O10*(1-rngCOGSpct*Slider_COGS)-SUMIFS(tblForecast[OpEx],tblForecast[Scenario],SelectedScenario,tblForecast[Month],N10)</f>
        <v>70754.130318343203</v>
      </c>
      <c r="Q10" s="23">
        <f t="shared" si="0"/>
        <v>0.42620958592537345</v>
      </c>
      <c r="R10" s="2"/>
      <c r="S10" s="21">
        <f>EDATE(StartMonth,5)</f>
        <v>46174</v>
      </c>
      <c r="T10" s="22">
        <f>SUMIFS(tblForecast[Revenue],tblForecast[Scenario],"Base",tblForecast[Month],S10)</f>
        <v>166007.83430228103</v>
      </c>
      <c r="U10" s="22">
        <f>SUMIFS(tblForecast[Revenue],tblForecast[Scenario],"Opt",tblForecast[Month],S10)</f>
        <v>184563.45860309512</v>
      </c>
      <c r="V10" s="22">
        <f>SUMIFS(tblForecast[Revenue],tblForecast[Scenario],"Stress",tblForecast[Month],S10)</f>
        <v>137048.93129996498</v>
      </c>
      <c r="W10" s="2"/>
      <c r="X10" s="24"/>
      <c r="Y10" s="24"/>
      <c r="Z10" s="2"/>
      <c r="AA10" s="2"/>
    </row>
    <row r="11" spans="1:27" x14ac:dyDescent="0.25">
      <c r="A11" s="13" t="s">
        <v>54</v>
      </c>
      <c r="B11" s="19">
        <v>0.1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1">
        <f>EDATE(StartMonth,6)</f>
        <v>46204</v>
      </c>
      <c r="O11" s="22">
        <f>SUMIFS(tblForecast[Revenue],tblForecast[Scenario],SelectedScenario,tblForecast[Month],N11)*((1+rngVolumeGrowth*Slider_Volume)/(1+rngVolumeGrowth))^7*((1+rngPriceChange*Slider_Price)/(1+rngPriceChange))^7</f>
        <v>168834.94772044886</v>
      </c>
      <c r="P11" s="22">
        <f>O11*(1-rngCOGSpct*Slider_COGS)-SUMIFS(tblForecast[OpEx],tblForecast[Scenario],SelectedScenario,tblForecast[Month],N11)</f>
        <v>72306.145517928773</v>
      </c>
      <c r="Q11" s="23">
        <f t="shared" si="0"/>
        <v>0.42826527620129229</v>
      </c>
      <c r="R11" s="2"/>
      <c r="S11" s="21">
        <f>EDATE(StartMonth,6)</f>
        <v>46204</v>
      </c>
      <c r="T11" s="22">
        <f>SUMIFS(tblForecast[Revenue],tblForecast[Scenario],"Base",tblForecast[Month],S11)</f>
        <v>168834.94772044886</v>
      </c>
      <c r="U11" s="22">
        <f>SUMIFS(tblForecast[Revenue],tblForecast[Scenario],"Opt",tblForecast[Month],S11)</f>
        <v>191050.86417299393</v>
      </c>
      <c r="V11" s="22">
        <f>SUMIFS(tblForecast[Revenue],tblForecast[Scenario],"Stress",tblForecast[Month],S11)</f>
        <v>135000.04977703051</v>
      </c>
      <c r="W11" s="2"/>
      <c r="X11" s="24"/>
      <c r="Y11" s="24"/>
      <c r="Z11" s="2"/>
      <c r="AA11" s="2"/>
    </row>
    <row r="12" spans="1:27" x14ac:dyDescent="0.25">
      <c r="A12" s="13" t="s">
        <v>55</v>
      </c>
      <c r="B12" s="20">
        <v>46244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1">
        <f>EDATE(StartMonth,7)</f>
        <v>46235</v>
      </c>
      <c r="O12" s="22">
        <f>SUMIFS(tblForecast[Revenue],tblForecast[Scenario],SelectedScenario,tblForecast[Month],N12)*((1+rngVolumeGrowth*Slider_Volume)/(1+rngVolumeGrowth))^8*((1+rngPriceChange*Slider_Price)/(1+rngPriceChange))^8</f>
        <v>171710.20688012807</v>
      </c>
      <c r="P12" s="22">
        <f>O12*(1-rngCOGSpct*Slider_COGS)-SUMIFS(tblForecast[OpEx],tblForecast[Scenario],SelectedScenario,tblForecast[Month],N12)</f>
        <v>73886.326898164611</v>
      </c>
      <c r="Q12" s="23">
        <f t="shared" si="0"/>
        <v>0.43029665062220268</v>
      </c>
      <c r="R12" s="2"/>
      <c r="S12" s="21">
        <f>EDATE(StartMonth,7)</f>
        <v>46235</v>
      </c>
      <c r="T12" s="22">
        <f>SUMIFS(tblForecast[Revenue],tblForecast[Scenario],"Base",tblForecast[Month],S12)</f>
        <v>171710.20688012807</v>
      </c>
      <c r="U12" s="22">
        <f>SUMIFS(tblForecast[Revenue],tblForecast[Scenario],"Opt",tblForecast[Month],S12)</f>
        <v>197766.30204867464</v>
      </c>
      <c r="V12" s="22">
        <f>SUMIFS(tblForecast[Revenue],tblForecast[Scenario],"Stress",tblForecast[Month],S12)</f>
        <v>132981.7990328639</v>
      </c>
      <c r="W12" s="2"/>
      <c r="X12" s="24"/>
      <c r="Y12" s="24"/>
      <c r="Z12" s="2"/>
      <c r="AA12" s="2"/>
    </row>
    <row r="13" spans="1:2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1">
        <f>EDATE(StartMonth,8)</f>
        <v>46266</v>
      </c>
      <c r="O13" s="22">
        <f>SUMIFS(tblForecast[Revenue],tblForecast[Scenario],SelectedScenario,tblForecast[Month],N13)*((1+rngVolumeGrowth*Slider_Volume)/(1+rngVolumeGrowth))^9*((1+rngPriceChange*Slider_Price)/(1+rngPriceChange))^9</f>
        <v>174634.43170329666</v>
      </c>
      <c r="P13" s="22">
        <f>O13*(1-rngCOGSpct*Slider_COGS)-SUMIFS(tblForecast[OpEx],tblForecast[Scenario],SelectedScenario,tblForecast[Month],N13)</f>
        <v>75495.162805916189</v>
      </c>
      <c r="Q13" s="23">
        <f t="shared" si="0"/>
        <v>0.43230399680964532</v>
      </c>
      <c r="R13" s="2"/>
      <c r="S13" s="21">
        <f>EDATE(StartMonth,8)</f>
        <v>46266</v>
      </c>
      <c r="T13" s="22">
        <f>SUMIFS(tblForecast[Revenue],tblForecast[Scenario],"Base",tblForecast[Month],S13)</f>
        <v>174634.43170329666</v>
      </c>
      <c r="U13" s="22">
        <f>SUMIFS(tblForecast[Revenue],tblForecast[Scenario],"Opt",tblForecast[Month],S13)</f>
        <v>204717.78756568555</v>
      </c>
      <c r="V13" s="22">
        <f>SUMIFS(tblForecast[Revenue],tblForecast[Scenario],"Stress",tblForecast[Month],S13)</f>
        <v>130993.72113732257</v>
      </c>
      <c r="W13" s="2"/>
      <c r="X13" s="24"/>
      <c r="Y13" s="24"/>
      <c r="Z13" s="2"/>
      <c r="AA13" s="2"/>
    </row>
    <row r="14" spans="1:2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1">
        <f>EDATE(StartMonth,9)</f>
        <v>46296</v>
      </c>
      <c r="O14" s="22">
        <f>SUMIFS(tblForecast[Revenue],tblForecast[Scenario],SelectedScenario,tblForecast[Month],N14)*((1+rngVolumeGrowth*Slider_Volume)/(1+rngVolumeGrowth))^10*((1+rngPriceChange*Slider_Price)/(1+rngPriceChange))^10</f>
        <v>177608.45607520378</v>
      </c>
      <c r="P14" s="22">
        <f>O14*(1-rngCOGSpct*Slider_COGS)-SUMIFS(tblForecast[OpEx],tblForecast[Scenario],SelectedScenario,tblForecast[Month],N14)</f>
        <v>77133.149947980157</v>
      </c>
      <c r="Q14" s="23">
        <f t="shared" si="0"/>
        <v>0.43428759898301289</v>
      </c>
      <c r="R14" s="2"/>
      <c r="S14" s="21">
        <f>EDATE(StartMonth,9)</f>
        <v>46296</v>
      </c>
      <c r="T14" s="22">
        <f>SUMIFS(tblForecast[Revenue],tblForecast[Scenario],"Base",tblForecast[Month],S14)</f>
        <v>177608.45607520378</v>
      </c>
      <c r="U14" s="22">
        <f>SUMIFS(tblForecast[Revenue],tblForecast[Scenario],"Opt",tblForecast[Month],S14)</f>
        <v>211913.61779861935</v>
      </c>
      <c r="V14" s="22">
        <f>SUMIFS(tblForecast[Revenue],tblForecast[Scenario],"Stress",tblForecast[Month],S14)</f>
        <v>129035.3650063196</v>
      </c>
      <c r="W14" s="2"/>
      <c r="X14" s="24"/>
      <c r="Y14" s="24"/>
      <c r="Z14" s="2"/>
      <c r="AA14" s="2"/>
    </row>
    <row r="15" spans="1:2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1">
        <f>EDATE(StartMonth,10)</f>
        <v>46327</v>
      </c>
      <c r="O15" s="22">
        <f>SUMIFS(tblForecast[Revenue],tblForecast[Scenario],SelectedScenario,tblForecast[Month],N15)*((1+rngVolumeGrowth*Slider_Volume)/(1+rngVolumeGrowth))^11*((1+rngPriceChange*Slider_Price)/(1+rngPriceChange))^11</f>
        <v>180633.12808216445</v>
      </c>
      <c r="P15" s="22">
        <f>O15*(1-rngCOGSpct*Slider_COGS)-SUMIFS(tblForecast[OpEx],tblForecast[Scenario],SelectedScenario,tblForecast[Month],N15)</f>
        <v>78800.793533670862</v>
      </c>
      <c r="Q15" s="23">
        <f t="shared" si="0"/>
        <v>0.43624773799979155</v>
      </c>
      <c r="R15" s="2"/>
      <c r="S15" s="21">
        <f>EDATE(StartMonth,10)</f>
        <v>46327</v>
      </c>
      <c r="T15" s="22">
        <f>SUMIFS(tblForecast[Revenue],tblForecast[Scenario],"Base",tblForecast[Month],S15)</f>
        <v>180633.12808216445</v>
      </c>
      <c r="U15" s="22">
        <f>SUMIFS(tblForecast[Revenue],tblForecast[Scenario],"Opt",tblForecast[Month],S15)</f>
        <v>219362.38146424081</v>
      </c>
      <c r="V15" s="22">
        <f>SUMIFS(tblForecast[Revenue],tblForecast[Scenario],"Stress",tblForecast[Month],S15)</f>
        <v>127106.28629947512</v>
      </c>
      <c r="W15" s="2"/>
      <c r="X15" s="24"/>
      <c r="Y15" s="24"/>
      <c r="Z15" s="2"/>
      <c r="AA15" s="2"/>
    </row>
    <row r="16" spans="1:2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1">
        <f>EDATE(StartMonth,11)</f>
        <v>46357</v>
      </c>
      <c r="O16" s="22">
        <f>SUMIFS(tblForecast[Revenue],tblForecast[Scenario],SelectedScenario,tblForecast[Month],N16)*((1+rngVolumeGrowth*Slider_Volume)/(1+rngVolumeGrowth))^12*((1+rngPriceChange*Slider_Price)/(1+rngPriceChange))^12</f>
        <v>183709.31025340373</v>
      </c>
      <c r="P16" s="22">
        <f>O16*(1-rngCOGSpct*Slider_COGS)-SUMIFS(tblForecast[OpEx],tblForecast[Scenario],SelectedScenario,tblForecast[Month],N16)</f>
        <v>80498.607419836291</v>
      </c>
      <c r="Q16" s="23">
        <f t="shared" si="0"/>
        <v>0.43818469139532806</v>
      </c>
      <c r="R16" s="2"/>
      <c r="S16" s="21">
        <f>EDATE(StartMonth,11)</f>
        <v>46357</v>
      </c>
      <c r="T16" s="22">
        <f>SUMIFS(tblForecast[Revenue],tblForecast[Scenario],"Base",tblForecast[Month],S16)</f>
        <v>183709.31025340373</v>
      </c>
      <c r="U16" s="22">
        <f>SUMIFS(tblForecast[Revenue],tblForecast[Scenario],"Opt",tblForecast[Month],S16)</f>
        <v>227072.96917270884</v>
      </c>
      <c r="V16" s="22">
        <f>SUMIFS(tblForecast[Revenue],tblForecast[Scenario],"Stress",tblForecast[Month],S16)</f>
        <v>125206.04731929796</v>
      </c>
      <c r="W16" s="2"/>
      <c r="X16" s="24"/>
      <c r="Y16" s="24"/>
      <c r="Z16" s="2"/>
      <c r="AA16" s="2"/>
    </row>
    <row r="17" spans="1:2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</sheetData>
  <sheetProtection sheet="1" objects="1" scenarios="1"/>
  <mergeCells count="2">
    <mergeCell ref="A1:AA1"/>
    <mergeCell ref="A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README</vt:lpstr>
      <vt:lpstr>Cover</vt:lpstr>
      <vt:lpstr>Dashboard</vt:lpstr>
      <vt:lpstr>Historical</vt:lpstr>
      <vt:lpstr>Assumptions</vt:lpstr>
      <vt:lpstr>Scenarios</vt:lpstr>
      <vt:lpstr>Forecast</vt:lpstr>
      <vt:lpstr>Variance</vt:lpstr>
      <vt:lpstr>Sensitivity</vt:lpstr>
      <vt:lpstr>Admin</vt:lpstr>
      <vt:lpstr>DiscountRate</vt:lpstr>
      <vt:lpstr>rngCOGSpct</vt:lpstr>
      <vt:lpstr>rngOpExChange</vt:lpstr>
      <vt:lpstr>rngPriceChange</vt:lpstr>
      <vt:lpstr>rngVolumeGrowth</vt:lpstr>
      <vt:lpstr>SelectedScenario</vt:lpstr>
      <vt:lpstr>Slider_COGS</vt:lpstr>
      <vt:lpstr>Slider_Price</vt:lpstr>
      <vt:lpstr>Slider_Volume</vt:lpstr>
      <vt:lpstr>StartMonth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 W</dc:creator>
  <cp:lastModifiedBy>B C W</cp:lastModifiedBy>
  <dcterms:created xsi:type="dcterms:W3CDTF">2026-08-10T11:19:10Z</dcterms:created>
  <dcterms:modified xsi:type="dcterms:W3CDTF">2026-08-13T16:21:54Z</dcterms:modified>
</cp:coreProperties>
</file>